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730" windowHeight="11760" tabRatio="983" firstSheet="6" activeTab="14"/>
  </bookViews>
  <sheets>
    <sheet name="Quadro de Receitas" sheetId="1" r:id="rId1"/>
    <sheet name="Detalhes da Receita" sheetId="2" r:id="rId2"/>
    <sheet name="Quadro de Despesa" sheetId="3" r:id="rId3"/>
    <sheet name="Detalhes da Despesa" sheetId="4" r:id="rId4"/>
    <sheet name="Resultado Primário" sheetId="5" r:id="rId5"/>
    <sheet name="Resultado Nominal" sheetId="6" r:id="rId6"/>
    <sheet name="Montante da Dívida" sheetId="7" r:id="rId7"/>
    <sheet name="Demostrativo I" sheetId="8" r:id="rId8"/>
    <sheet name="Demonstrativo II" sheetId="9" r:id="rId9"/>
    <sheet name="Demonstrativo III" sheetId="10" r:id="rId10"/>
    <sheet name="Demonstrativo IV" sheetId="11" r:id="rId11"/>
    <sheet name="Demonstrativo V" sheetId="12" r:id="rId12"/>
    <sheet name="Demonst VI" sheetId="13" r:id="rId13"/>
    <sheet name="Demonstrativo VII" sheetId="14" r:id="rId14"/>
    <sheet name="Demonstrativo VIII" sheetId="15" r:id="rId15"/>
    <sheet name="Riscos Fiscais" sheetId="16" r:id="rId16"/>
  </sheets>
  <definedNames>
    <definedName name="_Toc81141670" localSheetId="7">'Demostrativo I'!$A$6</definedName>
    <definedName name="_Toc81141688" localSheetId="9">'Demonstrativo III'!$B$5</definedName>
    <definedName name="_Toc81141689" localSheetId="9">'Demonstrativo III'!$A$30</definedName>
    <definedName name="_Toc81141723" localSheetId="14">'Demonstrativo VIII'!$A$10</definedName>
    <definedName name="_Toc81902449" localSheetId="7">'Demostrativo I'!$A$1</definedName>
    <definedName name="_Toc81902451" localSheetId="8">'Demonstrativo II'!$A$1</definedName>
    <definedName name="_Toc81902453" localSheetId="9">'Demonstrativo III'!$A$1</definedName>
    <definedName name="_Toc81902455" localSheetId="10">'Demonstrativo IV'!$A$1</definedName>
    <definedName name="_Toc81902457" localSheetId="11">'Demonstrativo V'!$A$1</definedName>
    <definedName name="_Toc81902463" localSheetId="13">'Demonstrativo VII'!$A$1</definedName>
    <definedName name="_Toc81902465" localSheetId="14">'Demonstrativo VIII'!$A$1</definedName>
    <definedName name="_xlnm.Print_Area" localSheetId="12">'Demonst VI'!$A$1:$G$237</definedName>
    <definedName name="_xlnm.Print_Area" localSheetId="8">'Demonstrativo II'!$A$1:$G$27</definedName>
    <definedName name="_xlnm.Print_Area" localSheetId="9">'Demonstrativo III'!$A$1:$L$43</definedName>
    <definedName name="_xlnm.Print_Area" localSheetId="10">'Demonstrativo IV'!$A$1:$G$22</definedName>
    <definedName name="_xlnm.Print_Area" localSheetId="11">'Demonstrativo V'!$A$1:$D$30</definedName>
    <definedName name="_xlnm.Print_Area" localSheetId="13">'Demonstrativo VII'!$A$1:$F$17</definedName>
    <definedName name="_xlnm.Print_Area" localSheetId="14">'Demonstrativo VIII'!$A$1:$B$30</definedName>
    <definedName name="_xlnm.Print_Area" localSheetId="7">'Demostrativo I'!$A$1:$J$27</definedName>
    <definedName name="_xlnm.Print_Area" localSheetId="3">'Detalhes da Despesa'!$A$1:$J$149</definedName>
    <definedName name="_xlnm.Print_Area" localSheetId="1">'Detalhes da Receita'!$A$1:$J$189</definedName>
    <definedName name="_xlnm.Print_Area" localSheetId="6">'Montante da Dívida'!$A$1:$L$28</definedName>
    <definedName name="_xlnm.Print_Area" localSheetId="2">'Quadro de Despesa'!$A$1:$J$29</definedName>
    <definedName name="_xlnm.Print_Area" localSheetId="0">'Quadro de Receitas'!$A$1:$J$34</definedName>
    <definedName name="_xlnm.Print_Area" localSheetId="5">'Resultado Nominal'!$A$1:$L$36</definedName>
    <definedName name="_xlnm.Print_Area" localSheetId="4">'Resultado Primário'!$A$1:$K$54</definedName>
    <definedName name="_xlnm.Print_Area" localSheetId="15">'Riscos Fiscais'!$A$1:$D$40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comments10.xml><?xml version="1.0" encoding="utf-8"?>
<comments xmlns="http://schemas.openxmlformats.org/spreadsheetml/2006/main">
  <authors>
    <author>Usuario</author>
  </authors>
  <commentList>
    <comment ref="K15" authorId="0">
      <text>
        <r>
          <rPr>
            <b/>
            <sz val="9"/>
            <rFont val="Tahoma"/>
            <family val="2"/>
          </rPr>
          <t>Não alterar formula.</t>
        </r>
        <r>
          <rPr>
            <sz val="9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9"/>
            <rFont val="Tahoma"/>
            <family val="2"/>
          </rPr>
          <t>Não alterar formula.</t>
        </r>
        <r>
          <rPr>
            <sz val="9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9"/>
            <rFont val="Tahoma"/>
            <family val="2"/>
          </rPr>
          <t>Não alterar formula.</t>
        </r>
        <r>
          <rPr>
            <sz val="9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9"/>
            <rFont val="Tahoma"/>
            <family val="2"/>
          </rPr>
          <t>Não alterar formula.</t>
        </r>
        <r>
          <rPr>
            <sz val="9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9"/>
            <rFont val="Tahoma"/>
            <family val="2"/>
          </rPr>
          <t>Não alterar formula.</t>
        </r>
        <r>
          <rPr>
            <sz val="9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9"/>
            <rFont val="Tahoma"/>
            <family val="2"/>
          </rPr>
          <t>Não alterar formula.</t>
        </r>
        <r>
          <rPr>
            <sz val="9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9"/>
            <rFont val="Tahoma"/>
            <family val="2"/>
          </rPr>
          <t>Não alterar formula.</t>
        </r>
        <r>
          <rPr>
            <sz val="9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9"/>
            <rFont val="Tahoma"/>
            <family val="2"/>
          </rPr>
          <t>Não alterar formula.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<sst xmlns="http://schemas.openxmlformats.org/spreadsheetml/2006/main" count="804" uniqueCount="410">
  <si>
    <t>SEM MOVIMENTO</t>
  </si>
  <si>
    <t>EXERCÍCIO</t>
  </si>
  <si>
    <t>APLICAÇÃO DOS RECURSOS DA ALIENAÇÃO DE ATIVOS</t>
  </si>
  <si>
    <t xml:space="preserve">        Amortização da Dívida</t>
  </si>
  <si>
    <t xml:space="preserve">DEMONSTRATIVO II – AVALIAÇÃO DO CUMPRIMENTO DAS METAS FISCAIS DO EXERCÍCIO ANTERIOR </t>
  </si>
  <si>
    <t>DEMONSTRATIVO I – METAS ANUAIS</t>
  </si>
  <si>
    <t>Resultado Nominal</t>
  </si>
  <si>
    <t>ANEXO DE  METAS FISCAIS</t>
  </si>
  <si>
    <t>METAS ANUAIS</t>
  </si>
  <si>
    <t>LRF, art. 4º, § 1</t>
  </si>
  <si>
    <t>Valor</t>
  </si>
  <si>
    <t>% PIB</t>
  </si>
  <si>
    <t>Corrente</t>
  </si>
  <si>
    <t>Constante</t>
  </si>
  <si>
    <t>(a / PIB)</t>
  </si>
  <si>
    <t>(b / PIB)</t>
  </si>
  <si>
    <t>(c / PIB)</t>
  </si>
  <si>
    <t>x 100</t>
  </si>
  <si>
    <t xml:space="preserve">  Receita Total</t>
  </si>
  <si>
    <t xml:space="preserve">  Receitas Não-Financeiras (I)</t>
  </si>
  <si>
    <t xml:space="preserve"> Despesa Total</t>
  </si>
  <si>
    <t>Despesas Não-Financeiras (II)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</si>
  <si>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</si>
  <si>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</si>
  <si>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</si>
  <si>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</si>
  <si>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 xml:space="preserve">AVALIAÇÃO DO CUMPRIMENTO DAS METAS FISCAIS   DO EXERCÍCIO ANTERIOR                            </t>
  </si>
  <si>
    <t>LRF, art. 4º, §2º, inciso I</t>
  </si>
  <si>
    <t>Margem Líquida de Expansão de DOCC (III-IV)</t>
  </si>
  <si>
    <t>Saldo Utilizado da Margem Bruta (IV)</t>
  </si>
  <si>
    <t>Receita Total</t>
  </si>
  <si>
    <t>Receita Não-Financeira (I)</t>
  </si>
  <si>
    <t>Despesa Total</t>
  </si>
  <si>
    <t>Despesa Não-Financeira (II)</t>
  </si>
  <si>
    <t>Resultado Primário (I–II)</t>
  </si>
  <si>
    <t xml:space="preserve">Dívida Pública Consolidada </t>
  </si>
  <si>
    <t>Dívida Consolidada Líquida</t>
  </si>
  <si>
    <t>METAS FISCAIS ATUAIS COMPARADAS COM AS FIXADAS  NOS TRÊS EXERCÍCIOS ANTERIORES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</si>
  <si>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</si>
  <si>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</si>
  <si>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</si>
  <si>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Receitas Não-Financeiras (I)</t>
  </si>
  <si>
    <t>Despesa Total </t>
  </si>
  <si>
    <t>Resultado Primário (I – II)</t>
  </si>
  <si>
    <t xml:space="preserve">Resultado Nominal  </t>
  </si>
  <si>
    <t>Dívida Pública Consolidada</t>
  </si>
  <si>
    <t>EVOLUÇÃO DO PATRIMÔNIO LÍQUIDO</t>
  </si>
  <si>
    <t>LRF, art.4º, §2º, inciso III</t>
  </si>
  <si>
    <t>PATRIMÔNIO LÍQUIDO</t>
  </si>
  <si>
    <t>Patrimônio/Capital</t>
  </si>
  <si>
    <t>Reservas</t>
  </si>
  <si>
    <t>Resultado Acumulado</t>
  </si>
  <si>
    <t>REGIME PREVIDENCIÁRIO</t>
  </si>
  <si>
    <t>ORIGEM E APLICAÇÃO DOS RECURSOS OBTIDOS COM A ALIENAÇÃO DE ATIVOS</t>
  </si>
  <si>
    <t xml:space="preserve">    ALIENAÇÃO DE ATIVOS </t>
  </si>
  <si>
    <t>DESPESAS                                                                                          LIQUIDADAS</t>
  </si>
  <si>
    <t xml:space="preserve">   DESPESAS DE CAPITAL</t>
  </si>
  <si>
    <t xml:space="preserve">         Investimentos</t>
  </si>
  <si>
    <t xml:space="preserve">         Inversões Financeiras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</si>
  <si>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</si>
  <si>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</si>
  <si>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</si>
  <si>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          -</t>
  </si>
  <si>
    <t>(-)  Transferências constitucionais</t>
  </si>
  <si>
    <t>ESTIMATIVA E COMPENSAÇÃO DA RENÚNCIA DE RECEITA</t>
  </si>
  <si>
    <t>LRF, art. 4°, § 2°, inciso V</t>
  </si>
  <si>
    <t>SETORES/PROGRAMAS/ /BENEFICIÁRIO</t>
  </si>
  <si>
    <t>RENÚNCIA DE RECEITA PREVISTA</t>
  </si>
  <si>
    <t>COMPENSAÇÃO</t>
  </si>
  <si>
    <t>Tributo/Contribuição</t>
  </si>
  <si>
    <t xml:space="preserve">MARGEM DE EXPANSÃO DAS DESPESAS OBRIGATÓRIAS DE CARÁTER CONTINUADO  </t>
  </si>
  <si>
    <t>EVENTO</t>
  </si>
  <si>
    <t xml:space="preserve">Aumento Permanente da Receita  </t>
  </si>
  <si>
    <t>Saldo Final do Aumento Permanente de Receita  (I)</t>
  </si>
  <si>
    <t>Margem Bruta  (III) = (I+II)</t>
  </si>
  <si>
    <t xml:space="preserve">   Impacto de Novas DOCC</t>
  </si>
  <si>
    <t xml:space="preserve">Variação </t>
  </si>
  <si>
    <t>%               (c/a) x 100</t>
  </si>
  <si>
    <t xml:space="preserve">TOTAL </t>
  </si>
  <si>
    <t xml:space="preserve">SALDO FINANCEIRO </t>
  </si>
  <si>
    <t>( c) = (a-b)+(f)</t>
  </si>
  <si>
    <t>(f) = (d-e)+(g)</t>
  </si>
  <si>
    <t xml:space="preserve">          (g)</t>
  </si>
  <si>
    <t>RECEITAS REALIZADAS</t>
  </si>
  <si>
    <t>%</t>
  </si>
  <si>
    <t>(a)</t>
  </si>
  <si>
    <t>(b)</t>
  </si>
  <si>
    <t>(c)</t>
  </si>
  <si>
    <t>RECEITAS DE CAPITAL</t>
  </si>
  <si>
    <t xml:space="preserve">        Alienação de Bens Móveis</t>
  </si>
  <si>
    <t xml:space="preserve">        Alienação de Bens Imóveis</t>
  </si>
  <si>
    <t>FONTE:</t>
  </si>
  <si>
    <t>TOTAL</t>
  </si>
  <si>
    <t>ESPECIFICAÇÃO</t>
  </si>
  <si>
    <t>FONTE: Atualizado pelo Índice Nacional de Preços ao Consumidor – IPCA-E</t>
  </si>
  <si>
    <t>SEM PREVISÃO</t>
  </si>
  <si>
    <t>VALORES A PREÇOS CONSTANTES</t>
  </si>
  <si>
    <t>Valor                 ( c) = (b-a)</t>
  </si>
  <si>
    <t>DEMONSTRATIVO III – METAS FISCAIS ATUAIS COMPARADAS COM AS FIXADAS NOS TRÊS EXERCÍCIOS ANTERIORES</t>
  </si>
  <si>
    <t xml:space="preserve"> DEMONSTRATIVO IV – EVOLUÇÃO DO PATRIMÔNIO LÍQUIDO</t>
  </si>
  <si>
    <t xml:space="preserve">DEMONSTRATIVO V – ORIGEM E APLICAÇÃO DOS RECURSOS OBTIDOS COM A ALIENAÇÃO DE ATIVOS </t>
  </si>
  <si>
    <t>DEMONSTRATIVO VIII – MARGEM DE EXPANSÃO DAS DESPESAS OBRIGATÓRIAS DE CARÁTER CONTINUADO</t>
  </si>
  <si>
    <t>DEMONSTRATIVO VII – ESTIMATIVA E COMPENSAÇÃO DA RENÚNCIA DE RECEITA</t>
  </si>
  <si>
    <t>(-)  Transferências ao FUNDEB</t>
  </si>
  <si>
    <t xml:space="preserve"> (a)</t>
  </si>
  <si>
    <t>Ano de 2015</t>
  </si>
  <si>
    <t xml:space="preserve">MUNICÍPIO DE ACARI </t>
  </si>
  <si>
    <t>METODOLOGIA DE CÁLCULO DOS VALORES CONSTANTES</t>
  </si>
  <si>
    <t>Ano 2016</t>
  </si>
  <si>
    <t>Ano 2017</t>
  </si>
  <si>
    <t>Valor em R$ 1,00</t>
  </si>
  <si>
    <t>Ano de 2016</t>
  </si>
  <si>
    <t>NOTA: O Município não realizou alienação nos últimos exercícios.</t>
  </si>
  <si>
    <t>Ano 2018</t>
  </si>
  <si>
    <t>Ano de 2017</t>
  </si>
  <si>
    <t>Valor efetivo (realizado) do PIB Estadual 2011</t>
  </si>
  <si>
    <t>Fonte: IBGE</t>
  </si>
  <si>
    <t>FONTE: Balanço Patrimonial do Município relativo aos exercícios de referência.</t>
  </si>
  <si>
    <t>Ano 2019</t>
  </si>
  <si>
    <t>Ano-2014</t>
  </si>
  <si>
    <t>Nota: A redução do Resultado Nominal, Dívida Pública Consolidada  e Dívida Consolidada Líquida, deu-se em virtude dos valores das dívidas terem sido registradas somente pelo valor principal, excluíndo-se as multas e juros.</t>
  </si>
  <si>
    <t>Ano 2020</t>
  </si>
  <si>
    <t xml:space="preserve">Receita </t>
  </si>
  <si>
    <t>Média do crescimento da Receita do Município nos últimos 02 exercícios, acrescida  da estimativa de inflação para o exercício de referência.</t>
  </si>
  <si>
    <t>Ano de 2018</t>
  </si>
  <si>
    <t>Valor efetivo (realizado) do PIB Estadual 2013</t>
  </si>
  <si>
    <t>Ano-2015</t>
  </si>
  <si>
    <t>Ano2015</t>
  </si>
  <si>
    <t>EXERCÍCIO DE 2018</t>
  </si>
  <si>
    <t xml:space="preserve">  DIRETRIZES ORÇAMENTÁRIAS PARA EXERCÍCIO DE 2018</t>
  </si>
  <si>
    <t>DIRETRIZES ORÇAMENTÁRIAS PARA EXERCÍCIO DE 2018</t>
  </si>
  <si>
    <t>METODOLOGIA DE CÁLCULO DOS VALORES CORRENTES DE RECEITAS E DESPESAS PARA O EXERCÍCIO DE 2018</t>
  </si>
  <si>
    <t>Ano-2016</t>
  </si>
  <si>
    <t>I-Metas Previstas em 2016</t>
  </si>
  <si>
    <t>II-Metas Realizadas em 2016</t>
  </si>
  <si>
    <t>Ano de 2019</t>
  </si>
  <si>
    <t>INDICES DE INFLAÇÃO</t>
  </si>
  <si>
    <t>VALORES DE REFERÊNCIA</t>
  </si>
  <si>
    <t>Valor Corrente x 1,1067</t>
  </si>
  <si>
    <t xml:space="preserve">Valor Corrente </t>
  </si>
  <si>
    <t>* Inflação Média ( % anual) projetada com base no Índice Nacional de Preços ao Consumidor Amplo - IPCA, divulgado pelo IBGE.</t>
  </si>
  <si>
    <t>ESTADO DO RIO GRANDE DO NORTE</t>
  </si>
  <si>
    <t>LEI DE DIRETRIZES ORÇAMENTÁRIAS</t>
  </si>
  <si>
    <t>ANEXO DE RISCOS FISCAIS</t>
  </si>
  <si>
    <t>Art. 4º, §3º, da LRF</t>
  </si>
  <si>
    <r>
      <t>ARF (LRF, art 4</t>
    </r>
    <r>
      <rPr>
        <u val="single"/>
        <vertAlign val="superscript"/>
        <sz val="8"/>
        <rFont val="Times New Roman"/>
        <family val="1"/>
      </rPr>
      <t>o</t>
    </r>
    <r>
      <rPr>
        <sz val="8"/>
        <rFont val="Times New Roman"/>
        <family val="1"/>
      </rPr>
      <t>, § 3</t>
    </r>
    <r>
      <rPr>
        <u val="single"/>
        <vertAlign val="superscript"/>
        <sz val="8"/>
        <rFont val="Times New Roman"/>
        <family val="1"/>
      </rPr>
      <t>o</t>
    </r>
    <r>
      <rPr>
        <sz val="8"/>
        <rFont val="Times New Roman"/>
        <family val="1"/>
      </rPr>
      <t>)</t>
    </r>
  </si>
  <si>
    <t>PASSIVOS CONTINGENTES</t>
  </si>
  <si>
    <t>PROVIDÊNCIAS</t>
  </si>
  <si>
    <t>Descrição</t>
  </si>
  <si>
    <t>Demandas Judiciais</t>
  </si>
  <si>
    <t>Dívidas em Processo de Reconhecimento</t>
  </si>
  <si>
    <t>Avais e Garantias Concedidas</t>
  </si>
  <si>
    <t>Assunção de Passivos</t>
  </si>
  <si>
    <t>Assistências Diversas</t>
  </si>
  <si>
    <t>Outros Passivos Contingentes</t>
  </si>
  <si>
    <t>SUBTOTAL</t>
  </si>
  <si>
    <t>DEMAIS RISCOS FISCAIS PASSIVOS</t>
  </si>
  <si>
    <t>Frustração de Arrecadação</t>
  </si>
  <si>
    <t>Restituição de Tributos a Maior</t>
  </si>
  <si>
    <t>Discrepância de Projeções:</t>
  </si>
  <si>
    <t>Outros Riscos Fiscais</t>
  </si>
  <si>
    <t>Nota:</t>
  </si>
  <si>
    <t>Passivos Contingentes: obrigações em processos, ações trabalhistas, indenizações, desapropriações, etc.</t>
  </si>
  <si>
    <t>Riscos Fiscais: Emergência, calamidade pública, frustrações de arrecadação prevista, despesas planejadas a menor.</t>
  </si>
  <si>
    <t>Eventos Fiscais Imprevistos: extinção de tributos, ocorrência imprevista em execução de obra, campanhas não previstas.</t>
  </si>
  <si>
    <t xml:space="preserve">Prefeito Municipal </t>
  </si>
  <si>
    <t>Município de Acari</t>
  </si>
  <si>
    <t>DEMONSTRATIVO VI – AVALIAÇÃO DA SITUAÇÃO FINANCEIRA E ATUARIAL DO REGIME PRÓPRIO DE PREVIDÊNCIA DOS SERVIDORES</t>
  </si>
  <si>
    <t>PROJETO DE LEI DE DIRETRIZES ORÇAMENTÁRIAS</t>
  </si>
  <si>
    <t>AVALIAÇÃO DA SITUAÇÃO FINANCEIRA E ATUARIAL DO RPPS</t>
  </si>
  <si>
    <t>AMF - Demonstrativo 6 (LRF, art.4º, §2º, inciso IV, alínea "a")</t>
  </si>
  <si>
    <t>RECEITAS E DESPESAS PREVIDENCIÁRIAS DO REGIME PRÓPRIO DE PREVIDÊNCIA DOS SERVIDORES</t>
  </si>
  <si>
    <t>PLANO PREVIDENCIÁRIO</t>
  </si>
  <si>
    <t xml:space="preserve">RECEITAS PREVIDENCIÁRIAS - RPPS </t>
  </si>
  <si>
    <t>RECEITAS CORRENTES (i)</t>
  </si>
  <si>
    <t>Receita de Contribuições dos Segurados</t>
  </si>
  <si>
    <t>Civil</t>
  </si>
  <si>
    <t>Ativo</t>
  </si>
  <si>
    <t>Inativo</t>
  </si>
  <si>
    <t>Pensionista</t>
  </si>
  <si>
    <t>Militar</t>
  </si>
  <si>
    <t>Receita de Contribuições Patronais</t>
  </si>
  <si>
    <t>Em Regime de Parcelamento de Débitos</t>
  </si>
  <si>
    <t>Receita Patrimonial</t>
  </si>
  <si>
    <t>Receitas Imobiliárias</t>
  </si>
  <si>
    <t>Receitas de Valores Mobiliários</t>
  </si>
  <si>
    <t>Outras Receitas Patrimoniais</t>
  </si>
  <si>
    <t>Receita de Serviços</t>
  </si>
  <si>
    <t>Receita de Aporte Periódico de Valores Predefinidos</t>
  </si>
  <si>
    <t>Outras Receitas Correntes</t>
  </si>
  <si>
    <t>Compensação Previdenciária do RGPS para o RPPS</t>
  </si>
  <si>
    <t>Demais Receitas Correntes</t>
  </si>
  <si>
    <t>RECEITAS DE CAPITAL (II)</t>
  </si>
  <si>
    <t>Alienação de Bens, Direitos e Ativos</t>
  </si>
  <si>
    <t>Amortização de Empréstimos</t>
  </si>
  <si>
    <t>Outras Receitas de Capital</t>
  </si>
  <si>
    <t>TOTAL DAS RECEITAS PREVIDENCIÁRIAS RPPS (III) = (I + II)</t>
  </si>
  <si>
    <t xml:space="preserve">DESPESAS PREVIDENCIÁRIAS - RPPS </t>
  </si>
  <si>
    <t>ADMINISTRAÇÃO (IV)</t>
  </si>
  <si>
    <t>Despesas Correntes</t>
  </si>
  <si>
    <t>Despesas de Capital</t>
  </si>
  <si>
    <t>PREVIDÊNCIA (V)</t>
  </si>
  <si>
    <t>Benefícios - Civil</t>
  </si>
  <si>
    <t>Aposentadorias</t>
  </si>
  <si>
    <t>Pensões</t>
  </si>
  <si>
    <t>Outros Benefícios Previdenciários</t>
  </si>
  <si>
    <t>Benefícios - Militar</t>
  </si>
  <si>
    <t>Reformas</t>
  </si>
  <si>
    <t>Outras Despesas Previdenciárias</t>
  </si>
  <si>
    <t>Compensação Previdenciária do RPPS para o RGPS</t>
  </si>
  <si>
    <t>Demais Despesas Previdenciárias</t>
  </si>
  <si>
    <t>TOTAL DAS DESPESAS PREVIDENCIÁRIAS RPPS (VI) = (IV + V)</t>
  </si>
  <si>
    <t>RESULTADO PREVIDENCIÁRIO (VII) = (III – VI)</t>
  </si>
  <si>
    <t>RECURSOS RPPS ARRECADADOS EM EXERCÍCIOS ANTERIORES</t>
  </si>
  <si>
    <t>VALOR</t>
  </si>
  <si>
    <t>RESERVA ORÇAMENTÁRIA DO RPPS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</si>
  <si>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</si>
  <si>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</si>
  <si>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</si>
  <si>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</si>
  <si>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</si>
  <si>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</si>
  <si>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Caixa e Equivalentes de Caixa</t>
  </si>
  <si>
    <t>Investimentos e Aplicações</t>
  </si>
  <si>
    <t>Outro Bens e Direitos</t>
  </si>
  <si>
    <t>PLANO FINANCEIRO</t>
  </si>
  <si>
    <t>RECEITAS CORRENTES (VIII)</t>
  </si>
  <si>
    <t>RECEITAS DE CAPITAL (IX)</t>
  </si>
  <si>
    <t>TOTAL DAS RECEITAS PREVIDENCIÁRIAS RPPS (X) = (VIII + IX)</t>
  </si>
  <si>
    <t>ADMINISTRAÇÃO (XI)</t>
  </si>
  <si>
    <t>PREVIDÊNCIA (XII)</t>
  </si>
  <si>
    <t>TOTAL DAS DESPESAS PREVIDENCIÁRIAS RPPS (XIII) = (XI + XII)</t>
  </si>
  <si>
    <t>RESULTADO PREVIDENCIÁRIO (XIV) = (X - XIII)</t>
  </si>
  <si>
    <t>Recursos para Cobertura de Insuficiências Financeiras</t>
  </si>
  <si>
    <t>Recursos para Formação de Reserva</t>
  </si>
  <si>
    <t xml:space="preserve"> PROJEÇÃO ATUARIAL DO REGIME PRÓPRIO DE PREVIDÊNCIA DOS SERVIDORES</t>
  </si>
  <si>
    <t>PROJEÇÃO ATUARIAL DO REGIME PRÓPRIO DE PREVIDÊNCIA DOS SERVIDORES</t>
  </si>
  <si>
    <t>AMF – Demonstrativo 6 (LRF, art.4º, § 2º, inciso IV, alínea “a”)</t>
  </si>
  <si>
    <t>RECEITAS</t>
  </si>
  <si>
    <t>DESPESAS</t>
  </si>
  <si>
    <t>RESULTADO</t>
  </si>
  <si>
    <t>PREVIDENCIÁRIAS</t>
  </si>
  <si>
    <t>PREVIDENCIÁRIO</t>
  </si>
  <si>
    <t>DO EXERCÍCIO</t>
  </si>
  <si>
    <t>(c) = (a-b)</t>
  </si>
  <si>
    <t xml:space="preserve">(d) = (d Exercício anterior) + (c) </t>
  </si>
  <si>
    <t>METODOLOGIA E MEMÓRIA DE DE CÁLCULO DAS METAS ANUAIS</t>
  </si>
  <si>
    <t>I - RECEITAS</t>
  </si>
  <si>
    <t>Art. 4º, §2º, Inciso II da LRF</t>
  </si>
  <si>
    <t>ARRECADADA</t>
  </si>
  <si>
    <t>ORÇADA</t>
  </si>
  <si>
    <t>PREVISÃO R$ 1,00</t>
  </si>
  <si>
    <t>RECEITAS CORRENTES</t>
  </si>
  <si>
    <t xml:space="preserve"> Receita Tributária</t>
  </si>
  <si>
    <t xml:space="preserve"> Receita de Contribuição</t>
  </si>
  <si>
    <t xml:space="preserve"> Receita Patrimonial</t>
  </si>
  <si>
    <t xml:space="preserve"> Receita Agropecuária</t>
  </si>
  <si>
    <t xml:space="preserve"> Receita Industrial</t>
  </si>
  <si>
    <t xml:space="preserve"> Receita de Serviços</t>
  </si>
  <si>
    <t xml:space="preserve"> Transferências Correntes</t>
  </si>
  <si>
    <t xml:space="preserve"> Outras Receitas Correntes</t>
  </si>
  <si>
    <t>RECEITAS CORRENTES INTRAORÇAMENTÁRIAS</t>
  </si>
  <si>
    <t>Receita de Contribuições -Intraorçamentárias</t>
  </si>
  <si>
    <t>Receita Patrimonial - Intra-orçamentárias</t>
  </si>
  <si>
    <t xml:space="preserve"> Operações de Crédito</t>
  </si>
  <si>
    <t xml:space="preserve"> Alienação de Bens</t>
  </si>
  <si>
    <t xml:space="preserve"> Amortização de Empréstimos</t>
  </si>
  <si>
    <t xml:space="preserve"> Transferências de Capital</t>
  </si>
  <si>
    <t xml:space="preserve"> Outras Receitas de Capital</t>
  </si>
  <si>
    <t>Total</t>
  </si>
  <si>
    <t>Município Acari</t>
  </si>
  <si>
    <t>Receita Tributárias</t>
  </si>
  <si>
    <t>Metas Anuais</t>
  </si>
  <si>
    <t>Valor Nominal - R$</t>
  </si>
  <si>
    <t>Variação %</t>
  </si>
  <si>
    <t>Receita de Contribuição</t>
  </si>
  <si>
    <t>Transferências Correntes</t>
  </si>
  <si>
    <t>Receita de Contribuições - Intraorçamentárias</t>
  </si>
  <si>
    <t>Operações de Crédito</t>
  </si>
  <si>
    <t>Alienação de bens</t>
  </si>
  <si>
    <t>Transferências de Capital</t>
  </si>
  <si>
    <t>II - DESPESAS</t>
  </si>
  <si>
    <t>CATEGORIA ECONÔMICA E GRUPOS DE</t>
  </si>
  <si>
    <t>EXECUTADA</t>
  </si>
  <si>
    <t>PREVISÃO</t>
  </si>
  <si>
    <t>NATUREZA DE DESPESAS</t>
  </si>
  <si>
    <t>DESPESAS CORRENTES ( I )</t>
  </si>
  <si>
    <t xml:space="preserve"> Pessoal e Encargos Sociais</t>
  </si>
  <si>
    <t>Pessoal e Encargos Sociais - Intraorçamentarias</t>
  </si>
  <si>
    <t xml:space="preserve"> Juros e Encargos da Dívida</t>
  </si>
  <si>
    <t xml:space="preserve"> Outras Despesas Correntes</t>
  </si>
  <si>
    <t>DESPESAS DE CAPITAL ( II )</t>
  </si>
  <si>
    <t xml:space="preserve"> Investimentos</t>
  </si>
  <si>
    <t xml:space="preserve"> Inversões Financeiras</t>
  </si>
  <si>
    <t xml:space="preserve"> Transferência de Capital</t>
  </si>
  <si>
    <t xml:space="preserve"> Amortização da Dívida</t>
  </si>
  <si>
    <t>RESERVA DE CONTINGÊNCIA</t>
  </si>
  <si>
    <t>RESERVA DO RPPS</t>
  </si>
  <si>
    <t>Prefeito Municipal</t>
  </si>
  <si>
    <t>II.a - DESPESAS</t>
  </si>
  <si>
    <t>Pessoal e Encargos Sociais</t>
  </si>
  <si>
    <t>Esse grupo de despesas apresenta um aumento gradual baseado nos índices de inflação previstos</t>
  </si>
  <si>
    <t>para o período.</t>
  </si>
  <si>
    <t>Pessoal e Encargos Sociais - Intraorçamentárias</t>
  </si>
  <si>
    <t>Juros e Encargos da Dívida</t>
  </si>
  <si>
    <t>Outras Despesas Correntes</t>
  </si>
  <si>
    <t>Investimentos</t>
  </si>
  <si>
    <t>Valor Nominal - R$ 1,00</t>
  </si>
  <si>
    <t>Esse grupo de despesas apresenta um aumento gradual baseado nos índices de investimentos previstos</t>
  </si>
  <si>
    <t>Inversões Financeiras</t>
  </si>
  <si>
    <t>Amortização da Dívida</t>
  </si>
  <si>
    <t xml:space="preserve">Os recursos destinados a Reserva de Contingência apresenta uma variação baseada nas </t>
  </si>
  <si>
    <t>de cada o período.</t>
  </si>
  <si>
    <t xml:space="preserve">FONTE:  </t>
  </si>
  <si>
    <t>III - RESULTADO PRIMÁRIO</t>
  </si>
  <si>
    <t>RECEITAS CORRENTES ( I )</t>
  </si>
  <si>
    <t>Receitas Tributárias</t>
  </si>
  <si>
    <t>Receitas de Contribuição</t>
  </si>
  <si>
    <t xml:space="preserve"> Aplicações Financeiras ( II )</t>
  </si>
  <si>
    <t xml:space="preserve"> Outras Receitas Patrimoniais</t>
  </si>
  <si>
    <t>Receita Agropecuária</t>
  </si>
  <si>
    <t>Receita Industrial</t>
  </si>
  <si>
    <t>RECEITAS FISCAIS CORRENTES ( III ) = ( I - II )</t>
  </si>
  <si>
    <t>RECEITAS DE CAPITAL ( IV )</t>
  </si>
  <si>
    <t>Operações de Crédito ( V )</t>
  </si>
  <si>
    <t>Alienação de Bens ( VI )</t>
  </si>
  <si>
    <t>Amortização de Empréstimos ( VII )</t>
  </si>
  <si>
    <t>Receitas Fiscais de Capital ( VIII )= ( IV - V - VI - VII )</t>
  </si>
  <si>
    <t>Receita de Contribuições - Intra-orçamentárias</t>
  </si>
  <si>
    <t>RECEITAS  NÃO FINANCEIRAS (OU RECEITAS</t>
  </si>
  <si>
    <t>FISCAIS  LÍQUIDAS) ( IX ) = ( III + VIII )</t>
  </si>
  <si>
    <t>RECEITA TOTAL</t>
  </si>
  <si>
    <t>DESPESAS CORRENTES ( X )</t>
  </si>
  <si>
    <t>Juros e Encargos da Dívida ( XI )</t>
  </si>
  <si>
    <t>DESPESAS FISCAIS CORRENTES ( XII ) = ( X - XI)</t>
  </si>
  <si>
    <t>DESPESAS DE CAPITAL ( XIII )</t>
  </si>
  <si>
    <t>Amortização da Dívida ( XIV )</t>
  </si>
  <si>
    <t>DESPESAS FISCAIS DE CAPITAL ( XV ) = (XIII - XIV )</t>
  </si>
  <si>
    <t>RESERVA DE CONTIGÊNCIA ( XVI )</t>
  </si>
  <si>
    <t>DESPESAS NÃO-FINANCEIRAS (OU DESPESAS</t>
  </si>
  <si>
    <t>FISCAIS  LÍQUIDAS) ( XVII ) = ( XII + XV + XVI )</t>
  </si>
  <si>
    <t>DESPESA TOTAL</t>
  </si>
  <si>
    <t>RESULTADO PRIMÁRIO ( IX - XVIII )</t>
  </si>
  <si>
    <t>IV - RESULTADO NOMINAL</t>
  </si>
  <si>
    <t>Especificação</t>
  </si>
  <si>
    <t>(b) #</t>
  </si>
  <si>
    <t>(c) #</t>
  </si>
  <si>
    <t>(d)</t>
  </si>
  <si>
    <t>(e)</t>
  </si>
  <si>
    <t>(f)</t>
  </si>
  <si>
    <t>(g)</t>
  </si>
  <si>
    <t>DÍVIDA CONSOLIDADA ( I )</t>
  </si>
  <si>
    <t>DEDUÇÕES ( II )</t>
  </si>
  <si>
    <t xml:space="preserve"> Ativo Disponível</t>
  </si>
  <si>
    <t xml:space="preserve"> Haveres Financeiros</t>
  </si>
  <si>
    <t>( - )Restos a Pagar Processados</t>
  </si>
  <si>
    <t>DÍVIDA CONSOLIDADA LÍQUIDA ( III ) = ( I - II )</t>
  </si>
  <si>
    <t xml:space="preserve">RECEITA DE PRVATIZAÇÕES ( IV ) </t>
  </si>
  <si>
    <t>PASSIVOS RECONHECIDOS ( V )</t>
  </si>
  <si>
    <t>(b - a*)</t>
  </si>
  <si>
    <t>(c - b)</t>
  </si>
  <si>
    <t>(d - c)</t>
  </si>
  <si>
    <t>(e - d)</t>
  </si>
  <si>
    <t>(f - e)</t>
  </si>
  <si>
    <t>(g - f)</t>
  </si>
  <si>
    <t>Notas:</t>
  </si>
  <si>
    <t xml:space="preserve"> -O cálculo Das Metas Anuais Relativas ao resultado Nominal, foi executado em conformidade com a metodologia</t>
  </si>
  <si>
    <t>estabelecida pelo Governo Federal, normatizada pela STN - Secretaria do Tesouro Nacional.</t>
  </si>
  <si>
    <t>* Refere-se ao valor previsto da Dívida Consolidada Líquida do exercício de 2015 (R$ 0,00)</t>
  </si>
  <si>
    <t># Os valores informados foram efetivamente realizados nos exercício de 2015/2016</t>
  </si>
  <si>
    <t>V - MONTANTE DA DÍVIDA PÚBLICA</t>
  </si>
  <si>
    <t>(R$)</t>
  </si>
  <si>
    <t xml:space="preserve"> Dívida Mobiliária</t>
  </si>
  <si>
    <t xml:space="preserve"> Outras Dívidas</t>
  </si>
  <si>
    <t xml:space="preserve"> ( - ) Restos a Pagar</t>
  </si>
  <si>
    <t>As correções dessa receita foram feitas prevendo um aumento gradual, fruto de uma política de</t>
  </si>
  <si>
    <t>intensificação da fiscalização tributária e modernização da Secretaria.</t>
  </si>
  <si>
    <t>O aumento gradual e constante previsto para essa receita foi observado de forma que os valores</t>
  </si>
  <si>
    <t>sejam corrigidos baseados nos índices de inflação previstos para o período.</t>
  </si>
  <si>
    <t>Esta receita apresenta crescimento constante, seguindo a premissa de que o Município através</t>
  </si>
  <si>
    <t>de um planejamento mais apurado terá como resultado um aumento na receita resultante de</t>
  </si>
  <si>
    <t>aplicações financeiras.</t>
  </si>
  <si>
    <t>Nessa receita a expectativa é de redução constante e em percentuais iguais aos previstos para</t>
  </si>
  <si>
    <t>a arrecadação para os períodos previstos nesta Lei.</t>
  </si>
  <si>
    <t>Seguindo a linha de previsão utilizada para as demais receitas, foi previsto também para essa os</t>
  </si>
  <si>
    <t>vedação da Lei Complementar nº 101/2000,</t>
  </si>
  <si>
    <t>mesmos índices de correção.</t>
  </si>
  <si>
    <t xml:space="preserve">Nesse grupo de receitas estão previstos os Convênios, tanto os convênios com a União quanto </t>
  </si>
  <si>
    <t>com o Estado, obedecendo-se as previsões contidas no PPA do município.</t>
  </si>
  <si>
    <t>ISAIAS DE MEDEIROS CABRAL</t>
  </si>
  <si>
    <t>PAULO ROBERTO LEITE BULHOES</t>
  </si>
  <si>
    <t>DÌVIDA FISCAL LÍQUIDA (VI)=( IIII + IV -V )</t>
  </si>
  <si>
    <t>6,94*</t>
  </si>
  <si>
    <t>Valor Corrente x 1,1681</t>
  </si>
  <si>
    <t>Valor Corrente / 1,0732</t>
  </si>
  <si>
    <t>Valor Corrente / 1,1289</t>
  </si>
  <si>
    <t>Valor Corrente / 1,1983</t>
  </si>
  <si>
    <t>Parcelamento de INSS E FGTS</t>
  </si>
  <si>
    <t>Pagamento de Empréstimo</t>
  </si>
  <si>
    <t>Acari-RN,  19 de junho de 2017.</t>
  </si>
  <si>
    <t>Secretário Municipal de Administração</t>
  </si>
  <si>
    <t>mesmos índices. Não foi prevista a arrecadação dessa receita para o ano de 2016, por expressa</t>
  </si>
  <si>
    <t xml:space="preserve"> DIRETRIZES ORÇAMENTÁRIAS PARA EXERCÍCIO DE 2018</t>
  </si>
  <si>
    <t>Ano 2021</t>
  </si>
  <si>
    <t>Redução Permanente de Despesa (II)*</t>
  </si>
  <si>
    <t>Valor Previsto 2018</t>
  </si>
  <si>
    <t>- Prefeito Municipal –</t>
  </si>
  <si>
    <t>* A Redução Permanente de Despesa no valor de R$ 1.459.200,00 é equivalente ao valor orçado no Projeto de Lei Orçamentária Anual de 2018  no elemento 3190040000 (Contratação Por Tempo Determinado), que possui caráter continuado, tendo em vista a sua utilização há mais de dois exercícios seguidos. Contudo, visa-se substituir essa mão-de-obra pela contratação de servidores efetivos, por meio de concurso público, uma vez que tais contratações se tratam de serviços extremamente necessários para a população do município e que são rotineiros e habituais para a Administração Pública, seguindo o disposto no art. 37, inciso II, da Constituição Federal do Brasil.</t>
  </si>
  <si>
    <t>FONTE: Crescimento da Receita arrecadada dos 02 últimos exercícios, Atualizado pelo Índice Nacional de Preços ao Consumidor – IPCA-E</t>
  </si>
  <si>
    <t>Acari/RN, 29 de novembro de 2017.</t>
  </si>
</sst>
</file>

<file path=xl/styles.xml><?xml version="1.0" encoding="utf-8"?>
<styleSheet xmlns="http://schemas.openxmlformats.org/spreadsheetml/2006/main">
  <numFmts count="5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"/>
    <numFmt numFmtId="185" formatCode="_(* #,##0_);_(* \(#,##0\);_(* &quot;-&quot;??_);_(@_)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0.000"/>
    <numFmt numFmtId="190" formatCode="_(* #,##0.0_);_(* \(#,##0.0\);_(* &quot;-&quot;??_);_(@_)"/>
    <numFmt numFmtId="191" formatCode="_(* #,##0.000_);_(* \(#,##0.000\);_(* &quot;-&quot;??_);_(@_)"/>
    <numFmt numFmtId="192" formatCode="_(* #,##0.0000_);_(* \(#,##0.0000\);_(* &quot;-&quot;??_);_(@_)"/>
    <numFmt numFmtId="193" formatCode="_(* #,##0.0_);_(* \(#,##0.0\);_(* &quot;-&quot;?_);_(@_)"/>
    <numFmt numFmtId="194" formatCode="0.0000000"/>
    <numFmt numFmtId="195" formatCode="0.000000"/>
    <numFmt numFmtId="196" formatCode="0.00000"/>
    <numFmt numFmtId="197" formatCode="0.0000"/>
    <numFmt numFmtId="198" formatCode="_(* #,##0.000000_);_(* \(#,##0.000000\);_(* &quot;-&quot;??_);_(@_)"/>
    <numFmt numFmtId="199" formatCode="[$€-2]\ #,##0.00_);[Red]\([$€-2]\ #,##0.00\)"/>
    <numFmt numFmtId="200" formatCode="_(* #,##0.00_);_(* \(#,##0.00\);_(* \-??_);_(@_)"/>
    <numFmt numFmtId="201" formatCode="0.0%"/>
    <numFmt numFmtId="202" formatCode="0.000%"/>
    <numFmt numFmtId="203" formatCode="&quot;Ativado&quot;;&quot;Ativado&quot;;&quot;Desativado&quot;"/>
    <numFmt numFmtId="204" formatCode="_-* #,##0.000_-;\-* #,##0.000_-;_-* &quot;-&quot;??_-;_-@_-"/>
    <numFmt numFmtId="205" formatCode="_-* #,##0.0000_-;\-* #,##0.0000_-;_-* &quot;-&quot;??_-;_-@_-"/>
    <numFmt numFmtId="206" formatCode="_-* #,##0.00000_-;\-* #,##0.00000_-;_-* &quot;-&quot;??_-;_-@_-"/>
    <numFmt numFmtId="207" formatCode="_-* #,##0.000000_-;\-* #,##0.000000_-;_-* &quot;-&quot;??_-;_-@_-"/>
    <numFmt numFmtId="208" formatCode="_-* #,##0.0000000_-;\-* #,##0.0000000_-;_-* &quot;-&quot;??_-;_-@_-"/>
    <numFmt numFmtId="209" formatCode="_(* #,##0.00000_);_(* \(#,##0.00000\);_(* &quot;-&quot;??_);_(@_)"/>
    <numFmt numFmtId="210" formatCode="_(* #,##0.0000000_);_(* \(#,##0.0000000\);_(* &quot;-&quot;??_);_(@_)"/>
    <numFmt numFmtId="211" formatCode="_-* #,##0.00000000_-;\-* #,##0.00000000_-;_-* &quot;-&quot;??_-;_-@_-"/>
    <numFmt numFmtId="212" formatCode="_-* #,##0.000000000_-;\-* #,##0.000000000_-;_-* &quot;-&quot;??_-;_-@_-"/>
    <numFmt numFmtId="213" formatCode="[$-416]dddd\,\ d&quot; de &quot;mmmm&quot; de &quot;yyyy"/>
    <numFmt numFmtId="214" formatCode="&quot;R$&quot;\ #,##0.00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vertAlign val="superscript"/>
      <sz val="8"/>
      <name val="Times New Roman"/>
      <family val="1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24"/>
      <color indexed="10"/>
      <name val="Arial"/>
      <family val="2"/>
    </font>
    <font>
      <sz val="10"/>
      <name val="Cambria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</cellStyleXfs>
  <cellXfs count="679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8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13" xfId="0" applyFont="1" applyBorder="1" applyAlignment="1">
      <alignment horizontal="justify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horizontal="left"/>
    </xf>
    <xf numFmtId="0" fontId="3" fillId="0" borderId="18" xfId="0" applyFont="1" applyBorder="1" applyAlignment="1">
      <alignment wrapText="1"/>
    </xf>
    <xf numFmtId="0" fontId="4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4" fillId="0" borderId="21" xfId="0" applyFont="1" applyBorder="1" applyAlignment="1">
      <alignment wrapText="1"/>
    </xf>
    <xf numFmtId="0" fontId="4" fillId="0" borderId="18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5" fillId="33" borderId="11" xfId="0" applyFont="1" applyFill="1" applyBorder="1" applyAlignment="1">
      <alignment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6" fillId="0" borderId="0" xfId="0" applyFont="1" applyAlignment="1">
      <alignment/>
    </xf>
    <xf numFmtId="185" fontId="4" fillId="0" borderId="10" xfId="53" applyNumberFormat="1" applyFont="1" applyBorder="1" applyAlignment="1">
      <alignment horizontal="justify" vertical="top"/>
    </xf>
    <xf numFmtId="185" fontId="4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 wrapText="1"/>
    </xf>
    <xf numFmtId="185" fontId="4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 wrapText="1"/>
    </xf>
    <xf numFmtId="177" fontId="0" fillId="0" borderId="0" xfId="53" applyFont="1" applyAlignment="1">
      <alignment/>
    </xf>
    <xf numFmtId="177" fontId="0" fillId="0" borderId="0" xfId="53" applyFont="1" applyAlignment="1">
      <alignment horizontal="center" vertical="center"/>
    </xf>
    <xf numFmtId="191" fontId="4" fillId="0" borderId="10" xfId="0" applyNumberFormat="1" applyFont="1" applyBorder="1" applyAlignment="1">
      <alignment wrapText="1"/>
    </xf>
    <xf numFmtId="185" fontId="4" fillId="0" borderId="10" xfId="53" applyNumberFormat="1" applyFont="1" applyBorder="1" applyAlignment="1">
      <alignment vertical="top" wrapText="1"/>
    </xf>
    <xf numFmtId="185" fontId="4" fillId="0" borderId="18" xfId="53" applyNumberFormat="1" applyFont="1" applyBorder="1" applyAlignment="1">
      <alignment vertical="top" wrapText="1"/>
    </xf>
    <xf numFmtId="181" fontId="4" fillId="0" borderId="21" xfId="0" applyNumberFormat="1" applyFont="1" applyBorder="1" applyAlignment="1">
      <alignment horizontal="right" wrapText="1"/>
    </xf>
    <xf numFmtId="181" fontId="4" fillId="0" borderId="13" xfId="0" applyNumberFormat="1" applyFont="1" applyBorder="1" applyAlignment="1">
      <alignment horizontal="left"/>
    </xf>
    <xf numFmtId="185" fontId="4" fillId="0" borderId="26" xfId="0" applyNumberFormat="1" applyFont="1" applyBorder="1" applyAlignment="1">
      <alignment vertical="top" wrapText="1"/>
    </xf>
    <xf numFmtId="185" fontId="4" fillId="0" borderId="27" xfId="0" applyNumberFormat="1" applyFont="1" applyBorder="1" applyAlignment="1">
      <alignment vertical="top" wrapText="1"/>
    </xf>
    <xf numFmtId="185" fontId="4" fillId="0" borderId="28" xfId="0" applyNumberFormat="1" applyFont="1" applyBorder="1" applyAlignment="1">
      <alignment vertical="top" wrapText="1"/>
    </xf>
    <xf numFmtId="190" fontId="4" fillId="0" borderId="29" xfId="0" applyNumberFormat="1" applyFont="1" applyBorder="1" applyAlignment="1">
      <alignment wrapText="1"/>
    </xf>
    <xf numFmtId="190" fontId="4" fillId="0" borderId="0" xfId="0" applyNumberFormat="1" applyFont="1" applyBorder="1" applyAlignment="1">
      <alignment wrapText="1"/>
    </xf>
    <xf numFmtId="190" fontId="4" fillId="0" borderId="11" xfId="0" applyNumberFormat="1" applyFont="1" applyBorder="1" applyAlignment="1">
      <alignment wrapText="1"/>
    </xf>
    <xf numFmtId="190" fontId="4" fillId="0" borderId="30" xfId="0" applyNumberFormat="1" applyFont="1" applyBorder="1" applyAlignment="1">
      <alignment wrapText="1"/>
    </xf>
    <xf numFmtId="190" fontId="4" fillId="0" borderId="10" xfId="0" applyNumberFormat="1" applyFont="1" applyBorder="1" applyAlignment="1">
      <alignment wrapText="1"/>
    </xf>
    <xf numFmtId="190" fontId="4" fillId="0" borderId="18" xfId="0" applyNumberFormat="1" applyFont="1" applyBorder="1" applyAlignment="1">
      <alignment wrapText="1"/>
    </xf>
    <xf numFmtId="177" fontId="4" fillId="0" borderId="29" xfId="0" applyNumberFormat="1" applyFont="1" applyBorder="1" applyAlignment="1">
      <alignment wrapText="1"/>
    </xf>
    <xf numFmtId="177" fontId="4" fillId="0" borderId="0" xfId="0" applyNumberFormat="1" applyFont="1" applyBorder="1" applyAlignment="1">
      <alignment wrapText="1"/>
    </xf>
    <xf numFmtId="177" fontId="4" fillId="0" borderId="11" xfId="0" applyNumberFormat="1" applyFont="1" applyBorder="1" applyAlignment="1">
      <alignment wrapText="1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77" fontId="4" fillId="0" borderId="0" xfId="53" applyFont="1" applyBorder="1" applyAlignment="1">
      <alignment horizontal="center" vertical="center" wrapText="1"/>
    </xf>
    <xf numFmtId="177" fontId="4" fillId="0" borderId="0" xfId="53" applyFont="1" applyBorder="1" applyAlignment="1">
      <alignment wrapText="1"/>
    </xf>
    <xf numFmtId="0" fontId="8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185" fontId="4" fillId="0" borderId="18" xfId="53" applyNumberFormat="1" applyFont="1" applyBorder="1" applyAlignment="1">
      <alignment wrapText="1"/>
    </xf>
    <xf numFmtId="185" fontId="4" fillId="0" borderId="11" xfId="53" applyNumberFormat="1" applyFont="1" applyBorder="1" applyAlignment="1">
      <alignment wrapText="1"/>
    </xf>
    <xf numFmtId="4" fontId="8" fillId="0" borderId="0" xfId="0" applyNumberFormat="1" applyFont="1" applyAlignment="1">
      <alignment/>
    </xf>
    <xf numFmtId="0" fontId="0" fillId="0" borderId="0" xfId="0" applyFont="1" applyAlignment="1">
      <alignment/>
    </xf>
    <xf numFmtId="177" fontId="4" fillId="0" borderId="31" xfId="0" applyNumberFormat="1" applyFont="1" applyBorder="1" applyAlignment="1">
      <alignment wrapText="1"/>
    </xf>
    <xf numFmtId="177" fontId="4" fillId="0" borderId="32" xfId="0" applyNumberFormat="1" applyFont="1" applyBorder="1" applyAlignment="1">
      <alignment wrapText="1"/>
    </xf>
    <xf numFmtId="177" fontId="4" fillId="0" borderId="33" xfId="0" applyNumberFormat="1" applyFont="1" applyBorder="1" applyAlignment="1">
      <alignment wrapText="1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177" fontId="4" fillId="0" borderId="27" xfId="0" applyNumberFormat="1" applyFont="1" applyBorder="1" applyAlignment="1">
      <alignment wrapText="1"/>
    </xf>
    <xf numFmtId="177" fontId="4" fillId="0" borderId="28" xfId="0" applyNumberFormat="1" applyFont="1" applyBorder="1" applyAlignment="1">
      <alignment wrapText="1"/>
    </xf>
    <xf numFmtId="181" fontId="4" fillId="0" borderId="34" xfId="0" applyNumberFormat="1" applyFont="1" applyBorder="1" applyAlignment="1">
      <alignment horizontal="right" vertical="top" wrapText="1"/>
    </xf>
    <xf numFmtId="185" fontId="4" fillId="0" borderId="31" xfId="0" applyNumberFormat="1" applyFont="1" applyBorder="1" applyAlignment="1">
      <alignment vertical="top"/>
    </xf>
    <xf numFmtId="185" fontId="4" fillId="0" borderId="32" xfId="0" applyNumberFormat="1" applyFont="1" applyBorder="1" applyAlignment="1">
      <alignment vertical="top"/>
    </xf>
    <xf numFmtId="185" fontId="4" fillId="0" borderId="33" xfId="0" applyNumberFormat="1" applyFont="1" applyBorder="1" applyAlignment="1">
      <alignment vertical="top"/>
    </xf>
    <xf numFmtId="185" fontId="4" fillId="0" borderId="26" xfId="53" applyNumberFormat="1" applyFont="1" applyBorder="1" applyAlignment="1">
      <alignment wrapText="1"/>
    </xf>
    <xf numFmtId="185" fontId="4" fillId="0" borderId="27" xfId="53" applyNumberFormat="1" applyFont="1" applyBorder="1" applyAlignment="1">
      <alignment wrapText="1"/>
    </xf>
    <xf numFmtId="185" fontId="4" fillId="0" borderId="28" xfId="53" applyNumberFormat="1" applyFont="1" applyBorder="1" applyAlignment="1">
      <alignment wrapText="1"/>
    </xf>
    <xf numFmtId="181" fontId="4" fillId="0" borderId="34" xfId="0" applyNumberFormat="1" applyFont="1" applyBorder="1" applyAlignment="1">
      <alignment horizontal="right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185" fontId="4" fillId="34" borderId="10" xfId="0" applyNumberFormat="1" applyFont="1" applyFill="1" applyBorder="1" applyAlignment="1">
      <alignment vertical="top" wrapText="1"/>
    </xf>
    <xf numFmtId="185" fontId="4" fillId="34" borderId="10" xfId="0" applyNumberFormat="1" applyFont="1" applyFill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33" xfId="0" applyFont="1" applyBorder="1" applyAlignment="1">
      <alignment wrapText="1"/>
    </xf>
    <xf numFmtId="185" fontId="4" fillId="0" borderId="0" xfId="0" applyNumberFormat="1" applyFont="1" applyBorder="1" applyAlignment="1">
      <alignment vertical="top" wrapText="1"/>
    </xf>
    <xf numFmtId="191" fontId="4" fillId="0" borderId="18" xfId="0" applyNumberFormat="1" applyFont="1" applyBorder="1" applyAlignment="1">
      <alignment wrapText="1"/>
    </xf>
    <xf numFmtId="185" fontId="4" fillId="0" borderId="26" xfId="0" applyNumberFormat="1" applyFont="1" applyBorder="1" applyAlignment="1">
      <alignment vertical="top"/>
    </xf>
    <xf numFmtId="185" fontId="4" fillId="0" borderId="27" xfId="0" applyNumberFormat="1" applyFont="1" applyBorder="1" applyAlignment="1">
      <alignment vertical="top"/>
    </xf>
    <xf numFmtId="185" fontId="4" fillId="0" borderId="28" xfId="0" applyNumberFormat="1" applyFont="1" applyBorder="1" applyAlignment="1">
      <alignment vertical="top"/>
    </xf>
    <xf numFmtId="177" fontId="4" fillId="0" borderId="10" xfId="0" applyNumberFormat="1" applyFont="1" applyBorder="1" applyAlignment="1">
      <alignment wrapText="1"/>
    </xf>
    <xf numFmtId="177" fontId="4" fillId="0" borderId="18" xfId="0" applyNumberFormat="1" applyFont="1" applyBorder="1" applyAlignment="1">
      <alignment wrapText="1"/>
    </xf>
    <xf numFmtId="185" fontId="4" fillId="0" borderId="30" xfId="0" applyNumberFormat="1" applyFont="1" applyBorder="1" applyAlignment="1">
      <alignment vertical="top" wrapText="1"/>
    </xf>
    <xf numFmtId="191" fontId="4" fillId="0" borderId="30" xfId="0" applyNumberFormat="1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185" fontId="4" fillId="0" borderId="0" xfId="53" applyNumberFormat="1" applyFont="1" applyFill="1" applyBorder="1" applyAlignment="1">
      <alignment horizontal="justify" vertical="top"/>
    </xf>
    <xf numFmtId="0" fontId="8" fillId="0" borderId="30" xfId="0" applyFont="1" applyBorder="1" applyAlignment="1">
      <alignment horizontal="center" vertical="center" wrapText="1"/>
    </xf>
    <xf numFmtId="185" fontId="4" fillId="0" borderId="32" xfId="0" applyNumberFormat="1" applyFont="1" applyBorder="1" applyAlignment="1">
      <alignment vertical="top" wrapText="1"/>
    </xf>
    <xf numFmtId="185" fontId="4" fillId="34" borderId="26" xfId="0" applyNumberFormat="1" applyFont="1" applyFill="1" applyBorder="1" applyAlignment="1">
      <alignment vertical="top" wrapText="1"/>
    </xf>
    <xf numFmtId="185" fontId="4" fillId="34" borderId="27" xfId="0" applyNumberFormat="1" applyFont="1" applyFill="1" applyBorder="1" applyAlignment="1">
      <alignment vertical="top" wrapText="1"/>
    </xf>
    <xf numFmtId="185" fontId="4" fillId="34" borderId="28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85" fontId="4" fillId="0" borderId="32" xfId="53" applyNumberFormat="1" applyFont="1" applyBorder="1" applyAlignment="1">
      <alignment wrapText="1"/>
    </xf>
    <xf numFmtId="185" fontId="4" fillId="0" borderId="33" xfId="53" applyNumberFormat="1" applyFont="1" applyBorder="1" applyAlignment="1">
      <alignment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36" xfId="0" applyFont="1" applyBorder="1" applyAlignment="1">
      <alignment wrapText="1"/>
    </xf>
    <xf numFmtId="0" fontId="4" fillId="0" borderId="2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198" fontId="4" fillId="0" borderId="30" xfId="0" applyNumberFormat="1" applyFont="1" applyBorder="1" applyAlignment="1">
      <alignment wrapText="1"/>
    </xf>
    <xf numFmtId="198" fontId="4" fillId="0" borderId="26" xfId="0" applyNumberFormat="1" applyFont="1" applyBorder="1" applyAlignment="1">
      <alignment wrapText="1"/>
    </xf>
    <xf numFmtId="198" fontId="4" fillId="0" borderId="10" xfId="0" applyNumberFormat="1" applyFont="1" applyBorder="1" applyAlignment="1">
      <alignment wrapText="1"/>
    </xf>
    <xf numFmtId="198" fontId="4" fillId="0" borderId="27" xfId="0" applyNumberFormat="1" applyFont="1" applyBorder="1" applyAlignment="1">
      <alignment wrapText="1"/>
    </xf>
    <xf numFmtId="198" fontId="4" fillId="0" borderId="18" xfId="0" applyNumberFormat="1" applyFont="1" applyBorder="1" applyAlignment="1">
      <alignment wrapText="1"/>
    </xf>
    <xf numFmtId="198" fontId="4" fillId="0" borderId="28" xfId="0" applyNumberFormat="1" applyFont="1" applyBorder="1" applyAlignment="1">
      <alignment wrapText="1"/>
    </xf>
    <xf numFmtId="177" fontId="4" fillId="0" borderId="0" xfId="53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77" fontId="4" fillId="0" borderId="0" xfId="53" applyFont="1" applyAlignment="1">
      <alignment horizontal="center" vertical="center"/>
    </xf>
    <xf numFmtId="0" fontId="4" fillId="0" borderId="0" xfId="0" applyFont="1" applyBorder="1" applyAlignment="1">
      <alignment/>
    </xf>
    <xf numFmtId="177" fontId="4" fillId="0" borderId="0" xfId="53" applyFont="1" applyBorder="1" applyAlignment="1">
      <alignment/>
    </xf>
    <xf numFmtId="192" fontId="4" fillId="0" borderId="0" xfId="53" applyNumberFormat="1" applyFont="1" applyAlignment="1">
      <alignment/>
    </xf>
    <xf numFmtId="185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77" fontId="4" fillId="0" borderId="0" xfId="53" applyFont="1" applyBorder="1" applyAlignment="1">
      <alignment horizontal="center"/>
    </xf>
    <xf numFmtId="177" fontId="4" fillId="0" borderId="0" xfId="53" applyFont="1" applyAlignment="1">
      <alignment horizontal="center"/>
    </xf>
    <xf numFmtId="0" fontId="64" fillId="0" borderId="0" xfId="0" applyFont="1" applyAlignment="1">
      <alignment/>
    </xf>
    <xf numFmtId="10" fontId="4" fillId="0" borderId="0" xfId="51" applyNumberFormat="1" applyFont="1" applyAlignment="1">
      <alignment/>
    </xf>
    <xf numFmtId="177" fontId="4" fillId="0" borderId="0" xfId="0" applyNumberFormat="1" applyFont="1" applyAlignment="1">
      <alignment/>
    </xf>
    <xf numFmtId="10" fontId="3" fillId="0" borderId="0" xfId="51" applyNumberFormat="1" applyFont="1" applyAlignment="1">
      <alignment/>
    </xf>
    <xf numFmtId="10" fontId="3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185" fontId="4" fillId="0" borderId="29" xfId="53" applyNumberFormat="1" applyFont="1" applyFill="1" applyBorder="1" applyAlignment="1">
      <alignment horizontal="justify" vertical="top"/>
    </xf>
    <xf numFmtId="185" fontId="4" fillId="0" borderId="11" xfId="53" applyNumberFormat="1" applyFont="1" applyFill="1" applyBorder="1" applyAlignment="1">
      <alignment horizontal="justify" vertical="top"/>
    </xf>
    <xf numFmtId="0" fontId="0" fillId="0" borderId="0" xfId="0" applyAlignment="1">
      <alignment horizontal="center"/>
    </xf>
    <xf numFmtId="185" fontId="4" fillId="0" borderId="27" xfId="0" applyNumberFormat="1" applyFont="1" applyFill="1" applyBorder="1" applyAlignment="1">
      <alignment vertical="top" wrapText="1"/>
    </xf>
    <xf numFmtId="185" fontId="4" fillId="0" borderId="0" xfId="53" applyNumberFormat="1" applyFont="1" applyFill="1" applyAlignment="1">
      <alignment/>
    </xf>
    <xf numFmtId="0" fontId="12" fillId="0" borderId="35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37" xfId="0" applyFont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5" xfId="0" applyFont="1" applyBorder="1" applyAlignment="1">
      <alignment horizontal="left"/>
    </xf>
    <xf numFmtId="177" fontId="4" fillId="0" borderId="35" xfId="53" applyFont="1" applyBorder="1" applyAlignment="1">
      <alignment horizontal="justify" vertical="top"/>
    </xf>
    <xf numFmtId="0" fontId="4" fillId="0" borderId="35" xfId="0" applyFont="1" applyBorder="1" applyAlignment="1">
      <alignment horizontal="justify" vertical="top"/>
    </xf>
    <xf numFmtId="0" fontId="4" fillId="0" borderId="26" xfId="0" applyFont="1" applyFill="1" applyBorder="1" applyAlignment="1">
      <alignment horizontal="left"/>
    </xf>
    <xf numFmtId="177" fontId="4" fillId="0" borderId="26" xfId="53" applyFont="1" applyFill="1" applyBorder="1" applyAlignment="1">
      <alignment horizontal="justify" vertical="top"/>
    </xf>
    <xf numFmtId="0" fontId="4" fillId="0" borderId="35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justify" vertical="top"/>
    </xf>
    <xf numFmtId="177" fontId="4" fillId="0" borderId="35" xfId="0" applyNumberFormat="1" applyFont="1" applyFill="1" applyBorder="1" applyAlignment="1">
      <alignment horizontal="justify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justify" vertical="top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vertical="top" wrapText="1"/>
    </xf>
    <xf numFmtId="173" fontId="4" fillId="0" borderId="34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77" fontId="20" fillId="0" borderId="10" xfId="53" applyFont="1" applyFill="1" applyBorder="1" applyAlignment="1">
      <alignment/>
    </xf>
    <xf numFmtId="177" fontId="4" fillId="0" borderId="10" xfId="53" applyFont="1" applyFill="1" applyBorder="1" applyAlignment="1">
      <alignment horizontal="right"/>
    </xf>
    <xf numFmtId="177" fontId="4" fillId="0" borderId="10" xfId="53" applyFont="1" applyFill="1" applyBorder="1" applyAlignment="1">
      <alignment horizontal="right" vertical="top" wrapText="1"/>
    </xf>
    <xf numFmtId="177" fontId="4" fillId="0" borderId="27" xfId="53" applyFont="1" applyBorder="1" applyAlignment="1">
      <alignment horizontal="right" vertical="top" wrapText="1"/>
    </xf>
    <xf numFmtId="177" fontId="4" fillId="35" borderId="22" xfId="53" applyFont="1" applyFill="1" applyBorder="1" applyAlignment="1">
      <alignment horizontal="right" vertical="top" wrapText="1"/>
    </xf>
    <xf numFmtId="0" fontId="4" fillId="0" borderId="29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177" fontId="4" fillId="0" borderId="10" xfId="53" applyFont="1" applyFill="1" applyBorder="1" applyAlignment="1">
      <alignment vertical="top" wrapText="1"/>
    </xf>
    <xf numFmtId="177" fontId="4" fillId="0" borderId="27" xfId="53" applyFont="1" applyFill="1" applyBorder="1" applyAlignment="1">
      <alignment vertical="top" wrapText="1"/>
    </xf>
    <xf numFmtId="177" fontId="4" fillId="35" borderId="35" xfId="53" applyFont="1" applyFill="1" applyBorder="1" applyAlignment="1">
      <alignment vertical="top" wrapText="1"/>
    </xf>
    <xf numFmtId="0" fontId="4" fillId="0" borderId="37" xfId="0" applyFont="1" applyFill="1" applyBorder="1" applyAlignment="1">
      <alignment horizontal="left" vertical="top" wrapText="1"/>
    </xf>
    <xf numFmtId="177" fontId="4" fillId="0" borderId="11" xfId="53" applyFont="1" applyFill="1" applyBorder="1" applyAlignment="1">
      <alignment vertical="top" wrapText="1"/>
    </xf>
    <xf numFmtId="177" fontId="3" fillId="35" borderId="18" xfId="53" applyFont="1" applyFill="1" applyBorder="1" applyAlignment="1">
      <alignment vertical="center" wrapText="1"/>
    </xf>
    <xf numFmtId="177" fontId="3" fillId="35" borderId="11" xfId="53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top" wrapText="1"/>
    </xf>
    <xf numFmtId="0" fontId="3" fillId="35" borderId="35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177" fontId="4" fillId="0" borderId="30" xfId="53" applyFont="1" applyFill="1" applyBorder="1" applyAlignment="1">
      <alignment horizontal="right" vertical="top" wrapText="1"/>
    </xf>
    <xf numFmtId="177" fontId="4" fillId="0" borderId="29" xfId="53" applyFont="1" applyFill="1" applyBorder="1" applyAlignment="1">
      <alignment horizontal="right" vertical="top" wrapText="1"/>
    </xf>
    <xf numFmtId="0" fontId="65" fillId="0" borderId="0" xfId="0" applyFont="1" applyBorder="1" applyAlignment="1">
      <alignment/>
    </xf>
    <xf numFmtId="177" fontId="4" fillId="0" borderId="0" xfId="53" applyFont="1" applyFill="1" applyBorder="1" applyAlignment="1">
      <alignment horizontal="right" vertical="top" wrapText="1"/>
    </xf>
    <xf numFmtId="0" fontId="65" fillId="0" borderId="11" xfId="0" applyFont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177" fontId="4" fillId="0" borderId="18" xfId="53" applyFont="1" applyFill="1" applyBorder="1" applyAlignment="1">
      <alignment horizontal="right" vertical="top" wrapText="1"/>
    </xf>
    <xf numFmtId="177" fontId="4" fillId="0" borderId="11" xfId="53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right" vertical="top" wrapText="1"/>
    </xf>
    <xf numFmtId="173" fontId="4" fillId="0" borderId="11" xfId="0" applyNumberFormat="1" applyFont="1" applyFill="1" applyBorder="1" applyAlignment="1">
      <alignment horizontal="right" vertical="top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left" vertical="top"/>
    </xf>
    <xf numFmtId="0" fontId="3" fillId="35" borderId="32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top" wrapText="1"/>
    </xf>
    <xf numFmtId="0" fontId="3" fillId="35" borderId="27" xfId="0" applyFont="1" applyFill="1" applyBorder="1" applyAlignment="1">
      <alignment horizontal="center" vertical="top" wrapText="1"/>
    </xf>
    <xf numFmtId="0" fontId="21" fillId="35" borderId="33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" vertical="center" wrapText="1"/>
    </xf>
    <xf numFmtId="185" fontId="22" fillId="35" borderId="0" xfId="0" applyNumberFormat="1" applyFont="1" applyFill="1" applyBorder="1" applyAlignment="1">
      <alignment horizontal="center" vertical="top" wrapText="1"/>
    </xf>
    <xf numFmtId="49" fontId="4" fillId="35" borderId="0" xfId="0" applyNumberFormat="1" applyFont="1" applyFill="1" applyBorder="1" applyAlignment="1">
      <alignment horizontal="center" vertical="center" wrapText="1"/>
    </xf>
    <xf numFmtId="185" fontId="4" fillId="35" borderId="33" xfId="53" applyNumberFormat="1" applyFont="1" applyFill="1" applyBorder="1" applyAlignment="1">
      <alignment horizontal="center"/>
    </xf>
    <xf numFmtId="185" fontId="4" fillId="35" borderId="32" xfId="53" applyNumberFormat="1" applyFont="1" applyFill="1" applyBorder="1" applyAlignment="1">
      <alignment horizontal="center"/>
    </xf>
    <xf numFmtId="185" fontId="4" fillId="35" borderId="31" xfId="53" applyNumberFormat="1" applyFont="1" applyFill="1" applyBorder="1" applyAlignment="1">
      <alignment horizontal="center"/>
    </xf>
    <xf numFmtId="0" fontId="65" fillId="0" borderId="29" xfId="0" applyFont="1" applyBorder="1" applyAlignment="1">
      <alignment/>
    </xf>
    <xf numFmtId="0" fontId="0" fillId="0" borderId="0" xfId="0" applyAlignment="1">
      <alignment horizontal="left"/>
    </xf>
    <xf numFmtId="185" fontId="0" fillId="0" borderId="26" xfId="53" applyNumberFormat="1" applyFont="1" applyBorder="1" applyAlignment="1">
      <alignment/>
    </xf>
    <xf numFmtId="0" fontId="0" fillId="0" borderId="0" xfId="0" applyBorder="1" applyAlignment="1">
      <alignment horizontal="left"/>
    </xf>
    <xf numFmtId="185" fontId="0" fillId="0" borderId="27" xfId="53" applyNumberFormat="1" applyFont="1" applyBorder="1" applyAlignment="1">
      <alignment/>
    </xf>
    <xf numFmtId="185" fontId="66" fillId="0" borderId="27" xfId="53" applyNumberFormat="1" applyFont="1" applyBorder="1" applyAlignment="1">
      <alignment/>
    </xf>
    <xf numFmtId="0" fontId="66" fillId="0" borderId="32" xfId="0" applyFont="1" applyBorder="1" applyAlignment="1">
      <alignment/>
    </xf>
    <xf numFmtId="185" fontId="0" fillId="0" borderId="28" xfId="53" applyNumberFormat="1" applyFont="1" applyBorder="1" applyAlignment="1">
      <alignment/>
    </xf>
    <xf numFmtId="3" fontId="12" fillId="0" borderId="35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0" fillId="0" borderId="3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2" fillId="0" borderId="0" xfId="0" applyFont="1" applyAlignment="1">
      <alignment/>
    </xf>
    <xf numFmtId="0" fontId="23" fillId="0" borderId="0" xfId="0" applyFont="1" applyAlignment="1">
      <alignment/>
    </xf>
    <xf numFmtId="0" fontId="12" fillId="0" borderId="29" xfId="0" applyFont="1" applyBorder="1" applyAlignment="1">
      <alignment/>
    </xf>
    <xf numFmtId="2" fontId="0" fillId="0" borderId="29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67" fillId="0" borderId="0" xfId="0" applyFont="1" applyAlignment="1">
      <alignment/>
    </xf>
    <xf numFmtId="0" fontId="12" fillId="0" borderId="0" xfId="0" applyFont="1" applyBorder="1" applyAlignment="1">
      <alignment/>
    </xf>
    <xf numFmtId="0" fontId="66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0" xfId="0" applyNumberFormat="1" applyAlignment="1">
      <alignment/>
    </xf>
    <xf numFmtId="0" fontId="12" fillId="0" borderId="27" xfId="0" applyFont="1" applyFill="1" applyBorder="1" applyAlignment="1">
      <alignment horizontal="center"/>
    </xf>
    <xf numFmtId="3" fontId="0" fillId="0" borderId="26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10" xfId="0" applyBorder="1" applyAlignment="1">
      <alignment horizontal="left"/>
    </xf>
    <xf numFmtId="3" fontId="0" fillId="0" borderId="27" xfId="0" applyNumberFormat="1" applyBorder="1" applyAlignment="1">
      <alignment/>
    </xf>
    <xf numFmtId="3" fontId="68" fillId="0" borderId="27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68" fillId="0" borderId="10" xfId="0" applyNumberFormat="1" applyFont="1" applyBorder="1" applyAlignment="1">
      <alignment/>
    </xf>
    <xf numFmtId="0" fontId="68" fillId="0" borderId="27" xfId="0" applyFont="1" applyBorder="1" applyAlignment="1">
      <alignment/>
    </xf>
    <xf numFmtId="0" fontId="68" fillId="0" borderId="10" xfId="0" applyFont="1" applyBorder="1" applyAlignment="1">
      <alignment/>
    </xf>
    <xf numFmtId="3" fontId="68" fillId="0" borderId="28" xfId="0" applyNumberFormat="1" applyFont="1" applyBorder="1" applyAlignment="1">
      <alignment/>
    </xf>
    <xf numFmtId="3" fontId="68" fillId="0" borderId="18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23" fillId="0" borderId="11" xfId="0" applyFont="1" applyBorder="1" applyAlignment="1">
      <alignment/>
    </xf>
    <xf numFmtId="0" fontId="16" fillId="0" borderId="0" xfId="0" applyFont="1" applyAlignment="1">
      <alignment/>
    </xf>
    <xf numFmtId="173" fontId="0" fillId="0" borderId="0" xfId="0" applyNumberFormat="1" applyAlignment="1">
      <alignment/>
    </xf>
    <xf numFmtId="3" fontId="16" fillId="0" borderId="27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3" fontId="12" fillId="0" borderId="35" xfId="0" applyNumberFormat="1" applyFont="1" applyBorder="1" applyAlignment="1">
      <alignment horizontal="right"/>
    </xf>
    <xf numFmtId="3" fontId="12" fillId="0" borderId="3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35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77" fontId="0" fillId="0" borderId="26" xfId="53" applyFont="1" applyBorder="1" applyAlignment="1">
      <alignment/>
    </xf>
    <xf numFmtId="177" fontId="0" fillId="0" borderId="26" xfId="53" applyFont="1" applyBorder="1" applyAlignment="1">
      <alignment/>
    </xf>
    <xf numFmtId="185" fontId="0" fillId="0" borderId="27" xfId="53" applyNumberFormat="1" applyFont="1" applyBorder="1" applyAlignment="1">
      <alignment/>
    </xf>
    <xf numFmtId="185" fontId="0" fillId="0" borderId="27" xfId="53" applyNumberFormat="1" applyFont="1" applyBorder="1" applyAlignment="1">
      <alignment horizontal="right"/>
    </xf>
    <xf numFmtId="185" fontId="0" fillId="0" borderId="28" xfId="53" applyNumberFormat="1" applyFont="1" applyBorder="1" applyAlignment="1">
      <alignment/>
    </xf>
    <xf numFmtId="185" fontId="0" fillId="0" borderId="0" xfId="0" applyNumberFormat="1" applyAlignment="1">
      <alignment/>
    </xf>
    <xf numFmtId="185" fontId="12" fillId="0" borderId="35" xfId="0" applyNumberFormat="1" applyFont="1" applyBorder="1" applyAlignment="1">
      <alignment horizontal="center"/>
    </xf>
    <xf numFmtId="185" fontId="12" fillId="0" borderId="35" xfId="53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4" fontId="0" fillId="0" borderId="26" xfId="0" applyNumberForma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4" fontId="0" fillId="0" borderId="27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8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12" fillId="0" borderId="35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3" fontId="16" fillId="0" borderId="27" xfId="0" applyNumberFormat="1" applyFont="1" applyFill="1" applyBorder="1" applyAlignment="1">
      <alignment/>
    </xf>
    <xf numFmtId="210" fontId="4" fillId="0" borderId="0" xfId="53" applyNumberFormat="1" applyFont="1" applyAlignment="1">
      <alignment/>
    </xf>
    <xf numFmtId="212" fontId="4" fillId="0" borderId="0" xfId="0" applyNumberFormat="1" applyFont="1" applyAlignment="1">
      <alignment/>
    </xf>
    <xf numFmtId="185" fontId="4" fillId="0" borderId="27" xfId="53" applyNumberFormat="1" applyFont="1" applyFill="1" applyBorder="1" applyAlignment="1">
      <alignment/>
    </xf>
    <xf numFmtId="3" fontId="68" fillId="0" borderId="0" xfId="0" applyNumberFormat="1" applyFont="1" applyBorder="1" applyAlignment="1">
      <alignment/>
    </xf>
    <xf numFmtId="0" fontId="68" fillId="0" borderId="32" xfId="0" applyFont="1" applyBorder="1" applyAlignment="1">
      <alignment/>
    </xf>
    <xf numFmtId="214" fontId="4" fillId="0" borderId="0" xfId="0" applyNumberFormat="1" applyFont="1" applyAlignment="1">
      <alignment/>
    </xf>
    <xf numFmtId="177" fontId="0" fillId="0" borderId="0" xfId="53" applyFont="1" applyAlignment="1">
      <alignment/>
    </xf>
    <xf numFmtId="0" fontId="8" fillId="0" borderId="13" xfId="0" applyFont="1" applyBorder="1" applyAlignment="1">
      <alignment wrapText="1"/>
    </xf>
    <xf numFmtId="181" fontId="8" fillId="0" borderId="13" xfId="0" applyNumberFormat="1" applyFont="1" applyBorder="1" applyAlignment="1">
      <alignment horizontal="right" wrapText="1"/>
    </xf>
    <xf numFmtId="177" fontId="0" fillId="0" borderId="0" xfId="0" applyNumberFormat="1" applyFont="1" applyAlignment="1">
      <alignment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7" fontId="0" fillId="0" borderId="0" xfId="53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185" fontId="8" fillId="0" borderId="0" xfId="53" applyNumberFormat="1" applyFont="1" applyAlignment="1">
      <alignment vertical="top" wrapText="1"/>
    </xf>
    <xf numFmtId="185" fontId="8" fillId="0" borderId="0" xfId="0" applyNumberFormat="1" applyFont="1" applyAlignment="1">
      <alignment vertical="top" wrapText="1"/>
    </xf>
    <xf numFmtId="202" fontId="0" fillId="0" borderId="0" xfId="51" applyNumberFormat="1" applyFont="1" applyAlignment="1">
      <alignment/>
    </xf>
    <xf numFmtId="0" fontId="8" fillId="0" borderId="18" xfId="0" applyFont="1" applyBorder="1" applyAlignment="1">
      <alignment vertical="top" wrapText="1"/>
    </xf>
    <xf numFmtId="185" fontId="8" fillId="0" borderId="11" xfId="53" applyNumberFormat="1" applyFont="1" applyBorder="1" applyAlignment="1">
      <alignment vertical="top" wrapText="1"/>
    </xf>
    <xf numFmtId="177" fontId="8" fillId="0" borderId="0" xfId="53" applyFont="1" applyAlignment="1">
      <alignment vertical="top" wrapText="1"/>
    </xf>
    <xf numFmtId="185" fontId="8" fillId="0" borderId="11" xfId="0" applyNumberFormat="1" applyFont="1" applyBorder="1" applyAlignment="1">
      <alignment vertical="top" wrapText="1"/>
    </xf>
    <xf numFmtId="0" fontId="20" fillId="0" borderId="18" xfId="0" applyFont="1" applyBorder="1" applyAlignment="1">
      <alignment vertical="top" wrapText="1"/>
    </xf>
    <xf numFmtId="185" fontId="20" fillId="0" borderId="11" xfId="0" applyNumberFormat="1" applyFont="1" applyBorder="1" applyAlignment="1">
      <alignment vertical="top" wrapText="1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3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0" xfId="0" applyBorder="1" applyAlignment="1">
      <alignment horizontal="left"/>
    </xf>
    <xf numFmtId="0" fontId="66" fillId="0" borderId="32" xfId="0" applyFont="1" applyBorder="1" applyAlignment="1">
      <alignment horizontal="left" vertical="justify"/>
    </xf>
    <xf numFmtId="0" fontId="66" fillId="0" borderId="0" xfId="0" applyFont="1" applyBorder="1" applyAlignment="1">
      <alignment horizontal="left" vertical="justify"/>
    </xf>
    <xf numFmtId="0" fontId="66" fillId="0" borderId="10" xfId="0" applyFont="1" applyBorder="1" applyAlignment="1">
      <alignment horizontal="left" vertical="justify"/>
    </xf>
    <xf numFmtId="0" fontId="66" fillId="0" borderId="32" xfId="0" applyFont="1" applyBorder="1" applyAlignment="1">
      <alignment horizontal="justify" vertical="justify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2" fillId="0" borderId="12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29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2" fontId="0" fillId="0" borderId="31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1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2" fontId="0" fillId="0" borderId="3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4" fontId="0" fillId="0" borderId="29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2" fontId="0" fillId="0" borderId="32" xfId="0" applyNumberFormat="1" applyBorder="1" applyAlignment="1">
      <alignment horizontal="center"/>
    </xf>
    <xf numFmtId="4" fontId="0" fillId="0" borderId="3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2" fontId="0" fillId="0" borderId="11" xfId="0" applyNumberFormat="1" applyBorder="1" applyAlignment="1">
      <alignment horizontal="center"/>
    </xf>
    <xf numFmtId="0" fontId="12" fillId="0" borderId="29" xfId="0" applyFont="1" applyBorder="1" applyAlignment="1">
      <alignment/>
    </xf>
    <xf numFmtId="4" fontId="0" fillId="0" borderId="31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2" fontId="0" fillId="0" borderId="29" xfId="0" applyNumberFormat="1" applyBorder="1" applyAlignment="1">
      <alignment horizontal="center"/>
    </xf>
    <xf numFmtId="3" fontId="0" fillId="0" borderId="32" xfId="0" applyNumberForma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0" fillId="0" borderId="10" xfId="0" applyBorder="1" applyAlignment="1">
      <alignment horizontal="right"/>
    </xf>
    <xf numFmtId="3" fontId="0" fillId="0" borderId="33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2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2" xfId="0" applyFont="1" applyBorder="1" applyAlignment="1">
      <alignment horizontal="left"/>
    </xf>
    <xf numFmtId="0" fontId="12" fillId="0" borderId="35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3" fontId="0" fillId="0" borderId="29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2" fontId="0" fillId="0" borderId="31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2" fontId="0" fillId="0" borderId="32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2" fontId="0" fillId="0" borderId="33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2" fontId="0" fillId="0" borderId="31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12" fillId="0" borderId="0" xfId="0" applyFont="1" applyAlignment="1">
      <alignment horizontal="center"/>
    </xf>
    <xf numFmtId="3" fontId="12" fillId="0" borderId="22" xfId="0" applyNumberFormat="1" applyFont="1" applyBorder="1" applyAlignment="1">
      <alignment horizontal="right"/>
    </xf>
    <xf numFmtId="0" fontId="12" fillId="0" borderId="33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3" fontId="12" fillId="0" borderId="35" xfId="0" applyNumberFormat="1" applyFont="1" applyBorder="1" applyAlignment="1">
      <alignment horizontal="right"/>
    </xf>
    <xf numFmtId="0" fontId="16" fillId="0" borderId="3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3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0" xfId="0" applyFont="1" applyAlignment="1">
      <alignment horizontal="left"/>
    </xf>
    <xf numFmtId="176" fontId="12" fillId="0" borderId="31" xfId="47" applyFont="1" applyBorder="1" applyAlignment="1">
      <alignment horizontal="center"/>
    </xf>
    <xf numFmtId="176" fontId="12" fillId="0" borderId="29" xfId="47" applyFont="1" applyBorder="1" applyAlignment="1">
      <alignment horizontal="center"/>
    </xf>
    <xf numFmtId="176" fontId="12" fillId="0" borderId="33" xfId="47" applyFont="1" applyBorder="1" applyAlignment="1">
      <alignment horizontal="center"/>
    </xf>
    <xf numFmtId="176" fontId="12" fillId="0" borderId="11" xfId="47" applyFont="1" applyBorder="1" applyAlignment="1">
      <alignment horizontal="center"/>
    </xf>
    <xf numFmtId="0" fontId="16" fillId="0" borderId="33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2" fillId="0" borderId="12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0" borderId="3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justify" vertical="justify" wrapText="1"/>
    </xf>
    <xf numFmtId="0" fontId="4" fillId="0" borderId="30" xfId="0" applyFont="1" applyBorder="1" applyAlignment="1">
      <alignment horizontal="justify" vertical="justify" wrapText="1"/>
    </xf>
    <xf numFmtId="0" fontId="4" fillId="0" borderId="33" xfId="0" applyFont="1" applyBorder="1" applyAlignment="1">
      <alignment horizontal="justify" vertical="justify" wrapText="1"/>
    </xf>
    <xf numFmtId="0" fontId="4" fillId="0" borderId="18" xfId="0" applyFont="1" applyBorder="1" applyAlignment="1">
      <alignment horizontal="justify" vertical="justify" wrapText="1"/>
    </xf>
    <xf numFmtId="177" fontId="4" fillId="0" borderId="31" xfId="53" applyFont="1" applyBorder="1" applyAlignment="1">
      <alignment horizontal="center"/>
    </xf>
    <xf numFmtId="177" fontId="4" fillId="0" borderId="30" xfId="53" applyFont="1" applyBorder="1" applyAlignment="1">
      <alignment horizontal="center"/>
    </xf>
    <xf numFmtId="177" fontId="4" fillId="0" borderId="33" xfId="53" applyFont="1" applyBorder="1" applyAlignment="1">
      <alignment horizontal="center"/>
    </xf>
    <xf numFmtId="177" fontId="4" fillId="0" borderId="18" xfId="53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13" xfId="0" applyFont="1" applyBorder="1" applyAlignment="1">
      <alignment wrapText="1"/>
    </xf>
    <xf numFmtId="181" fontId="4" fillId="0" borderId="13" xfId="0" applyNumberFormat="1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34" xfId="0" applyFont="1" applyBorder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177" fontId="4" fillId="0" borderId="31" xfId="53" applyFont="1" applyBorder="1" applyAlignment="1">
      <alignment horizontal="center" vertical="center"/>
    </xf>
    <xf numFmtId="177" fontId="4" fillId="0" borderId="30" xfId="53" applyFont="1" applyBorder="1" applyAlignment="1">
      <alignment horizontal="center" vertical="center"/>
    </xf>
    <xf numFmtId="177" fontId="4" fillId="0" borderId="33" xfId="53" applyFont="1" applyBorder="1" applyAlignment="1">
      <alignment horizontal="center" vertical="center"/>
    </xf>
    <xf numFmtId="177" fontId="4" fillId="0" borderId="18" xfId="53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1" xfId="0" applyFont="1" applyBorder="1" applyAlignment="1">
      <alignment horizontal="justify" vertical="justify" wrapText="1"/>
    </xf>
    <xf numFmtId="0" fontId="6" fillId="0" borderId="30" xfId="0" applyFont="1" applyBorder="1" applyAlignment="1">
      <alignment horizontal="justify" vertical="justify" wrapText="1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/>
    </xf>
    <xf numFmtId="0" fontId="4" fillId="0" borderId="31" xfId="0" applyFont="1" applyFill="1" applyBorder="1" applyAlignment="1">
      <alignment horizontal="justify" wrapText="1"/>
    </xf>
    <xf numFmtId="0" fontId="4" fillId="0" borderId="29" xfId="0" applyFont="1" applyFill="1" applyBorder="1" applyAlignment="1">
      <alignment horizontal="justify" wrapText="1"/>
    </xf>
    <xf numFmtId="177" fontId="4" fillId="0" borderId="0" xfId="53" applyFont="1" applyAlignment="1">
      <alignment horizontal="center"/>
    </xf>
    <xf numFmtId="177" fontId="4" fillId="0" borderId="0" xfId="53" applyFont="1" applyAlignment="1">
      <alignment/>
    </xf>
    <xf numFmtId="176" fontId="13" fillId="0" borderId="12" xfId="47" applyFont="1" applyBorder="1" applyAlignment="1">
      <alignment horizontal="center" vertical="center"/>
    </xf>
    <xf numFmtId="176" fontId="13" fillId="0" borderId="22" xfId="47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4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/>
    </xf>
    <xf numFmtId="0" fontId="4" fillId="36" borderId="37" xfId="0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left"/>
    </xf>
    <xf numFmtId="176" fontId="13" fillId="0" borderId="35" xfId="47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36" borderId="1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5" fillId="0" borderId="37" xfId="0" applyFont="1" applyBorder="1" applyAlignment="1">
      <alignment wrapText="1"/>
    </xf>
    <xf numFmtId="0" fontId="3" fillId="0" borderId="37" xfId="0" applyFont="1" applyBorder="1" applyAlignment="1">
      <alignment horizontal="center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5" fillId="0" borderId="31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185" fontId="4" fillId="35" borderId="33" xfId="53" applyNumberFormat="1" applyFont="1" applyFill="1" applyBorder="1" applyAlignment="1">
      <alignment horizontal="center"/>
    </xf>
    <xf numFmtId="185" fontId="4" fillId="35" borderId="11" xfId="53" applyNumberFormat="1" applyFont="1" applyFill="1" applyBorder="1" applyAlignment="1">
      <alignment horizontal="center"/>
    </xf>
    <xf numFmtId="185" fontId="4" fillId="35" borderId="18" xfId="53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justify" vertical="justify" wrapText="1"/>
    </xf>
    <xf numFmtId="185" fontId="4" fillId="35" borderId="32" xfId="53" applyNumberFormat="1" applyFont="1" applyFill="1" applyBorder="1" applyAlignment="1">
      <alignment horizontal="center"/>
    </xf>
    <xf numFmtId="185" fontId="4" fillId="35" borderId="0" xfId="53" applyNumberFormat="1" applyFont="1" applyFill="1" applyBorder="1" applyAlignment="1">
      <alignment horizontal="center"/>
    </xf>
    <xf numFmtId="185" fontId="4" fillId="35" borderId="10" xfId="53" applyNumberFormat="1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85" fontId="4" fillId="35" borderId="31" xfId="53" applyNumberFormat="1" applyFont="1" applyFill="1" applyBorder="1" applyAlignment="1">
      <alignment horizontal="center"/>
    </xf>
    <xf numFmtId="185" fontId="4" fillId="35" borderId="29" xfId="53" applyNumberFormat="1" applyFont="1" applyFill="1" applyBorder="1" applyAlignment="1">
      <alignment horizontal="center"/>
    </xf>
    <xf numFmtId="185" fontId="4" fillId="35" borderId="30" xfId="53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8" fillId="35" borderId="37" xfId="0" applyFont="1" applyFill="1" applyBorder="1" applyAlignment="1">
      <alignment horizontal="left" vertical="center" wrapText="1"/>
    </xf>
    <xf numFmtId="0" fontId="18" fillId="35" borderId="22" xfId="0" applyFont="1" applyFill="1" applyBorder="1" applyAlignment="1">
      <alignment horizontal="left" vertical="center" wrapText="1"/>
    </xf>
    <xf numFmtId="0" fontId="18" fillId="35" borderId="29" xfId="0" applyFont="1" applyFill="1" applyBorder="1" applyAlignment="1">
      <alignment horizontal="center" vertical="top" wrapText="1"/>
    </xf>
    <xf numFmtId="0" fontId="18" fillId="35" borderId="30" xfId="0" applyFont="1" applyFill="1" applyBorder="1" applyAlignment="1">
      <alignment horizontal="center" vertical="top" wrapText="1"/>
    </xf>
    <xf numFmtId="0" fontId="18" fillId="35" borderId="11" xfId="0" applyFont="1" applyFill="1" applyBorder="1" applyAlignment="1">
      <alignment horizontal="center" vertical="top" wrapText="1"/>
    </xf>
    <xf numFmtId="0" fontId="18" fillId="35" borderId="18" xfId="0" applyFont="1" applyFill="1" applyBorder="1" applyAlignment="1">
      <alignment horizontal="center" vertical="top" wrapText="1"/>
    </xf>
    <xf numFmtId="0" fontId="3" fillId="35" borderId="26" xfId="0" applyFont="1" applyFill="1" applyBorder="1" applyAlignment="1">
      <alignment horizontal="center" vertical="center"/>
    </xf>
    <xf numFmtId="0" fontId="20" fillId="35" borderId="28" xfId="0" applyFont="1" applyFill="1" applyBorder="1" applyAlignment="1">
      <alignment/>
    </xf>
    <xf numFmtId="0" fontId="3" fillId="35" borderId="31" xfId="0" applyFont="1" applyFill="1" applyBorder="1" applyAlignment="1">
      <alignment horizontal="center" vertical="center"/>
    </xf>
    <xf numFmtId="0" fontId="20" fillId="35" borderId="3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65" fillId="0" borderId="0" xfId="0" applyFont="1" applyAlignment="1">
      <alignment horizontal="left" indent="2"/>
    </xf>
    <xf numFmtId="0" fontId="65" fillId="0" borderId="10" xfId="0" applyFont="1" applyBorder="1" applyAlignment="1">
      <alignment horizontal="left" indent="2"/>
    </xf>
    <xf numFmtId="0" fontId="65" fillId="0" borderId="0" xfId="0" applyFont="1" applyAlignment="1">
      <alignment horizontal="left" indent="1"/>
    </xf>
    <xf numFmtId="0" fontId="65" fillId="0" borderId="10" xfId="0" applyFont="1" applyBorder="1" applyAlignment="1">
      <alignment horizontal="left" indent="1"/>
    </xf>
    <xf numFmtId="0" fontId="65" fillId="0" borderId="11" xfId="0" applyFont="1" applyBorder="1" applyAlignment="1">
      <alignment horizontal="left" indent="2"/>
    </xf>
    <xf numFmtId="0" fontId="65" fillId="0" borderId="18" xfId="0" applyFont="1" applyBorder="1" applyAlignment="1">
      <alignment horizontal="left" indent="2"/>
    </xf>
    <xf numFmtId="0" fontId="4" fillId="35" borderId="37" xfId="0" applyFont="1" applyFill="1" applyBorder="1" applyAlignment="1">
      <alignment horizontal="left" vertical="top" wrapText="1"/>
    </xf>
    <xf numFmtId="0" fontId="4" fillId="35" borderId="22" xfId="0" applyFont="1" applyFill="1" applyBorder="1" applyAlignment="1">
      <alignment horizontal="left" vertical="top" wrapText="1"/>
    </xf>
    <xf numFmtId="0" fontId="65" fillId="0" borderId="29" xfId="0" applyFont="1" applyBorder="1" applyAlignment="1">
      <alignment/>
    </xf>
    <xf numFmtId="0" fontId="65" fillId="0" borderId="30" xfId="0" applyFont="1" applyBorder="1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left" vertical="top" wrapText="1" indent="1"/>
    </xf>
    <xf numFmtId="0" fontId="18" fillId="35" borderId="29" xfId="0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/>
    </xf>
    <xf numFmtId="0" fontId="19" fillId="35" borderId="30" xfId="0" applyFont="1" applyFill="1" applyBorder="1" applyAlignment="1">
      <alignment/>
    </xf>
    <xf numFmtId="0" fontId="19" fillId="35" borderId="11" xfId="0" applyFont="1" applyFill="1" applyBorder="1" applyAlignment="1">
      <alignment/>
    </xf>
    <xf numFmtId="0" fontId="19" fillId="35" borderId="18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left" vertical="top" wrapText="1" indent="2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 indent="3"/>
    </xf>
    <xf numFmtId="0" fontId="4" fillId="0" borderId="10" xfId="0" applyFont="1" applyFill="1" applyBorder="1" applyAlignment="1">
      <alignment horizontal="left" vertical="top" wrapText="1" indent="3"/>
    </xf>
    <xf numFmtId="0" fontId="4" fillId="0" borderId="37" xfId="0" applyFont="1" applyFill="1" applyBorder="1" applyAlignment="1">
      <alignment horizontal="center" vertical="top" wrapText="1"/>
    </xf>
    <xf numFmtId="0" fontId="18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3" fillId="35" borderId="2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9" fillId="35" borderId="29" xfId="0" applyFont="1" applyFill="1" applyBorder="1" applyAlignment="1">
      <alignment horizontal="center" vertical="top"/>
    </xf>
    <xf numFmtId="0" fontId="19" fillId="35" borderId="30" xfId="0" applyFont="1" applyFill="1" applyBorder="1" applyAlignment="1">
      <alignment horizontal="center" vertical="top"/>
    </xf>
    <xf numFmtId="0" fontId="19" fillId="35" borderId="11" xfId="0" applyFont="1" applyFill="1" applyBorder="1" applyAlignment="1">
      <alignment horizontal="center" vertical="top"/>
    </xf>
    <xf numFmtId="0" fontId="19" fillId="35" borderId="18" xfId="0" applyFont="1" applyFill="1" applyBorder="1" applyAlignment="1">
      <alignment horizontal="center" vertical="top"/>
    </xf>
    <xf numFmtId="0" fontId="8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left" vertical="top" wrapText="1"/>
    </xf>
    <xf numFmtId="0" fontId="3" fillId="0" borderId="4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0" xfId="0" applyNumberFormat="1" applyFont="1" applyFill="1" applyAlignment="1">
      <alignment horizontal="center" vertical="justify" wrapText="1"/>
    </xf>
    <xf numFmtId="0" fontId="0" fillId="0" borderId="25" xfId="0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1" xfId="0" applyFont="1" applyBorder="1" applyAlignment="1">
      <alignment vertical="top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31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7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0" fontId="8" fillId="0" borderId="2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25" fillId="0" borderId="29" xfId="0" applyFont="1" applyBorder="1" applyAlignment="1">
      <alignment horizontal="justify" vertical="justify" wrapText="1"/>
    </xf>
    <xf numFmtId="0" fontId="25" fillId="0" borderId="0" xfId="0" applyFont="1" applyBorder="1" applyAlignment="1">
      <alignment horizontal="justify" vertical="justify" wrapText="1"/>
    </xf>
    <xf numFmtId="0" fontId="20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6" fillId="0" borderId="0" xfId="0" applyFont="1" applyAlignment="1">
      <alignment horizontal="justify" vertical="justify" wrapText="1"/>
    </xf>
    <xf numFmtId="0" fontId="4" fillId="0" borderId="35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5" fillId="0" borderId="0" xfId="0" applyFont="1" applyBorder="1" applyAlignment="1">
      <alignment horizontal="left" indent="10"/>
    </xf>
    <xf numFmtId="0" fontId="0" fillId="0" borderId="0" xfId="0" applyFont="1" applyBorder="1" applyAlignment="1">
      <alignment horizontal="left" indent="10"/>
    </xf>
    <xf numFmtId="0" fontId="16" fillId="0" borderId="0" xfId="0" applyFont="1" applyAlignment="1">
      <alignment horizontal="left" indent="10"/>
    </xf>
    <xf numFmtId="0" fontId="4" fillId="0" borderId="0" xfId="0" applyFont="1" applyBorder="1" applyAlignment="1">
      <alignment horizontal="justify"/>
    </xf>
    <xf numFmtId="173" fontId="4" fillId="0" borderId="0" xfId="0" applyNumberFormat="1" applyFont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34"/>
  <sheetViews>
    <sheetView zoomScalePageLayoutView="0" workbookViewId="0" topLeftCell="A1">
      <selection activeCell="A30" sqref="A30:E30"/>
    </sheetView>
  </sheetViews>
  <sheetFormatPr defaultColWidth="9.140625" defaultRowHeight="12.75"/>
  <cols>
    <col min="5" max="8" width="11.28125" style="0" bestFit="1" customWidth="1"/>
    <col min="9" max="9" width="14.7109375" style="0" customWidth="1"/>
    <col min="10" max="10" width="11.28125" style="0" bestFit="1" customWidth="1"/>
  </cols>
  <sheetData>
    <row r="1" spans="2:6" ht="12.75">
      <c r="B1" s="349" t="s">
        <v>141</v>
      </c>
      <c r="C1" s="349"/>
      <c r="D1" s="349"/>
      <c r="E1" s="349"/>
      <c r="F1" s="349"/>
    </row>
    <row r="2" spans="2:6" ht="15.75">
      <c r="B2" s="348" t="s">
        <v>270</v>
      </c>
      <c r="C2" s="348"/>
      <c r="D2" s="348"/>
      <c r="E2" s="348"/>
      <c r="F2" s="348"/>
    </row>
    <row r="3" spans="2:6" ht="12.75">
      <c r="B3" s="349" t="s">
        <v>142</v>
      </c>
      <c r="C3" s="349"/>
      <c r="D3" s="349"/>
      <c r="E3" s="349"/>
      <c r="F3" s="349"/>
    </row>
    <row r="4" spans="2:6" ht="12.75">
      <c r="B4" s="176" t="s">
        <v>246</v>
      </c>
      <c r="C4" s="176"/>
      <c r="D4" s="176"/>
      <c r="E4" s="176"/>
      <c r="F4" s="176"/>
    </row>
    <row r="5" spans="2:6" ht="12.75">
      <c r="B5" s="349" t="s">
        <v>247</v>
      </c>
      <c r="C5" s="349"/>
      <c r="D5" s="349"/>
      <c r="E5" s="349"/>
      <c r="F5" s="349"/>
    </row>
    <row r="6" spans="2:6" ht="12.75">
      <c r="B6" s="349" t="s">
        <v>248</v>
      </c>
      <c r="C6" s="349"/>
      <c r="D6" s="349"/>
      <c r="E6" s="349"/>
      <c r="F6" s="349"/>
    </row>
    <row r="7" spans="8:10" ht="12.75">
      <c r="H7" s="158"/>
      <c r="I7" s="158"/>
      <c r="J7" s="158"/>
    </row>
    <row r="8" spans="1:10" ht="12.75">
      <c r="A8" s="350" t="s">
        <v>93</v>
      </c>
      <c r="B8" s="350"/>
      <c r="C8" s="350"/>
      <c r="D8" s="351"/>
      <c r="E8" s="351" t="s">
        <v>249</v>
      </c>
      <c r="F8" s="352"/>
      <c r="G8" s="164" t="s">
        <v>250</v>
      </c>
      <c r="H8" s="350" t="s">
        <v>251</v>
      </c>
      <c r="I8" s="350"/>
      <c r="J8" s="350"/>
    </row>
    <row r="9" spans="1:10" ht="12.75">
      <c r="A9" s="350"/>
      <c r="B9" s="350"/>
      <c r="C9" s="350"/>
      <c r="D9" s="350"/>
      <c r="E9" s="161">
        <v>2015</v>
      </c>
      <c r="F9" s="161">
        <v>2016</v>
      </c>
      <c r="G9" s="161">
        <v>2017</v>
      </c>
      <c r="H9" s="161">
        <v>2018</v>
      </c>
      <c r="I9" s="161">
        <v>2019</v>
      </c>
      <c r="J9" s="161">
        <v>2020</v>
      </c>
    </row>
    <row r="10" spans="1:10" ht="12.75">
      <c r="A10" s="353" t="s">
        <v>252</v>
      </c>
      <c r="B10" s="354"/>
      <c r="C10" s="354"/>
      <c r="D10" s="354"/>
      <c r="E10" s="238">
        <f aca="true" t="shared" si="0" ref="E10:J10">SUM(E11:E18)</f>
        <v>20003055.18</v>
      </c>
      <c r="F10" s="238">
        <f t="shared" si="0"/>
        <v>21924930.63</v>
      </c>
      <c r="G10" s="238">
        <f t="shared" si="0"/>
        <v>28231222</v>
      </c>
      <c r="H10" s="238">
        <f t="shared" si="0"/>
        <v>30791793.835399996</v>
      </c>
      <c r="I10" s="238">
        <f t="shared" si="0"/>
        <v>32793260.434701</v>
      </c>
      <c r="J10" s="238">
        <f t="shared" si="0"/>
        <v>34924822.36295656</v>
      </c>
    </row>
    <row r="11" spans="1:10" ht="12.75">
      <c r="A11" s="355" t="s">
        <v>253</v>
      </c>
      <c r="B11" s="356"/>
      <c r="C11" s="356"/>
      <c r="D11" s="356"/>
      <c r="E11" s="240">
        <v>518252.21</v>
      </c>
      <c r="F11" s="240">
        <v>581438.51</v>
      </c>
      <c r="G11" s="241">
        <v>749700</v>
      </c>
      <c r="H11" s="240">
        <f>G11*1.0907</f>
        <v>817697.79</v>
      </c>
      <c r="I11" s="240">
        <f>H11*1.065</f>
        <v>870848.14635</v>
      </c>
      <c r="J11" s="240">
        <f>I11*1.065</f>
        <v>927453.27586275</v>
      </c>
    </row>
    <row r="12" spans="1:10" ht="12.75">
      <c r="A12" s="355" t="s">
        <v>254</v>
      </c>
      <c r="B12" s="356"/>
      <c r="C12" s="356"/>
      <c r="D12" s="356"/>
      <c r="E12" s="240">
        <v>421961.83</v>
      </c>
      <c r="F12" s="240">
        <v>461490.02</v>
      </c>
      <c r="G12" s="241">
        <v>480000</v>
      </c>
      <c r="H12" s="240">
        <f aca="true" t="shared" si="1" ref="H12:H18">G12*1.0907</f>
        <v>523536</v>
      </c>
      <c r="I12" s="240">
        <f aca="true" t="shared" si="2" ref="I12:J27">H12*1.065</f>
        <v>557565.84</v>
      </c>
      <c r="J12" s="240">
        <f t="shared" si="2"/>
        <v>593807.6196</v>
      </c>
    </row>
    <row r="13" spans="1:10" ht="12.75">
      <c r="A13" s="355" t="s">
        <v>255</v>
      </c>
      <c r="B13" s="356"/>
      <c r="C13" s="356"/>
      <c r="D13" s="356"/>
      <c r="E13" s="240">
        <v>311872.13</v>
      </c>
      <c r="F13" s="240">
        <v>347158.11</v>
      </c>
      <c r="G13" s="241">
        <v>481000</v>
      </c>
      <c r="H13" s="240">
        <f t="shared" si="1"/>
        <v>524626.7</v>
      </c>
      <c r="I13" s="240">
        <f t="shared" si="2"/>
        <v>558727.4354999999</v>
      </c>
      <c r="J13" s="240">
        <f t="shared" si="2"/>
        <v>595044.7188074999</v>
      </c>
    </row>
    <row r="14" spans="1:10" ht="12.75">
      <c r="A14" s="355" t="s">
        <v>256</v>
      </c>
      <c r="B14" s="356"/>
      <c r="C14" s="356"/>
      <c r="D14" s="356"/>
      <c r="E14" s="240">
        <v>0</v>
      </c>
      <c r="F14" s="240">
        <f>(E14*0.04)+E14</f>
        <v>0</v>
      </c>
      <c r="G14" s="241">
        <v>0</v>
      </c>
      <c r="H14" s="240">
        <f t="shared" si="1"/>
        <v>0</v>
      </c>
      <c r="I14" s="240">
        <f t="shared" si="2"/>
        <v>0</v>
      </c>
      <c r="J14" s="240">
        <f t="shared" si="2"/>
        <v>0</v>
      </c>
    </row>
    <row r="15" spans="1:10" ht="12.75">
      <c r="A15" s="355" t="s">
        <v>257</v>
      </c>
      <c r="B15" s="356"/>
      <c r="C15" s="356"/>
      <c r="D15" s="356"/>
      <c r="E15" s="240">
        <v>0</v>
      </c>
      <c r="F15" s="240">
        <v>0</v>
      </c>
      <c r="G15" s="241">
        <v>0</v>
      </c>
      <c r="H15" s="240">
        <f t="shared" si="1"/>
        <v>0</v>
      </c>
      <c r="I15" s="240">
        <f t="shared" si="2"/>
        <v>0</v>
      </c>
      <c r="J15" s="240">
        <f t="shared" si="2"/>
        <v>0</v>
      </c>
    </row>
    <row r="16" spans="1:10" ht="12.75">
      <c r="A16" s="355" t="s">
        <v>258</v>
      </c>
      <c r="B16" s="356"/>
      <c r="C16" s="356"/>
      <c r="D16" s="356"/>
      <c r="E16" s="240">
        <v>10346</v>
      </c>
      <c r="F16" s="240">
        <v>348454.07</v>
      </c>
      <c r="G16" s="241">
        <v>20000</v>
      </c>
      <c r="H16" s="240">
        <f t="shared" si="1"/>
        <v>21814</v>
      </c>
      <c r="I16" s="240">
        <f t="shared" si="2"/>
        <v>23231.91</v>
      </c>
      <c r="J16" s="240">
        <f t="shared" si="2"/>
        <v>24741.98415</v>
      </c>
    </row>
    <row r="17" spans="1:10" ht="12.75">
      <c r="A17" s="355" t="s">
        <v>259</v>
      </c>
      <c r="B17" s="356"/>
      <c r="C17" s="356"/>
      <c r="D17" s="356"/>
      <c r="E17" s="240">
        <v>18698867.09</v>
      </c>
      <c r="F17" s="240">
        <v>20142405.95</v>
      </c>
      <c r="G17" s="241">
        <v>26319422</v>
      </c>
      <c r="H17" s="240">
        <f t="shared" si="1"/>
        <v>28706593.5754</v>
      </c>
      <c r="I17" s="240">
        <f t="shared" si="2"/>
        <v>30572522.157801</v>
      </c>
      <c r="J17" s="240">
        <f t="shared" si="2"/>
        <v>32559736.098058064</v>
      </c>
    </row>
    <row r="18" spans="1:10" ht="12.75">
      <c r="A18" s="355" t="s">
        <v>260</v>
      </c>
      <c r="B18" s="356"/>
      <c r="C18" s="356"/>
      <c r="D18" s="356"/>
      <c r="E18" s="240">
        <v>41755.92</v>
      </c>
      <c r="F18" s="240">
        <v>43983.97</v>
      </c>
      <c r="G18" s="241">
        <v>181100</v>
      </c>
      <c r="H18" s="240">
        <f t="shared" si="1"/>
        <v>197525.77</v>
      </c>
      <c r="I18" s="240">
        <f t="shared" si="2"/>
        <v>210364.94504999998</v>
      </c>
      <c r="J18" s="240">
        <f t="shared" si="2"/>
        <v>224038.66647824997</v>
      </c>
    </row>
    <row r="19" spans="1:15" ht="12.75">
      <c r="A19" s="357" t="s">
        <v>261</v>
      </c>
      <c r="B19" s="358"/>
      <c r="C19" s="358"/>
      <c r="D19" s="359"/>
      <c r="E19" s="240">
        <f>+E20+E21</f>
        <v>0</v>
      </c>
      <c r="F19" s="240">
        <f>+F20+F21</f>
        <v>0</v>
      </c>
      <c r="G19" s="241">
        <f>SUM(G20:G21)</f>
        <v>0</v>
      </c>
      <c r="H19" s="241">
        <f>SUM(H20:H21)</f>
        <v>0</v>
      </c>
      <c r="I19" s="241">
        <f>SUM(I20:I21)</f>
        <v>0</v>
      </c>
      <c r="J19" s="241">
        <f>SUM(J20:J21)</f>
        <v>0</v>
      </c>
      <c r="O19" s="140"/>
    </row>
    <row r="20" spans="1:10" ht="12.75">
      <c r="A20" s="360" t="s">
        <v>262</v>
      </c>
      <c r="B20" s="361"/>
      <c r="C20" s="361"/>
      <c r="D20" s="362"/>
      <c r="E20" s="240">
        <v>0</v>
      </c>
      <c r="F20" s="240">
        <v>0</v>
      </c>
      <c r="G20" s="241">
        <v>0</v>
      </c>
      <c r="H20" s="240">
        <f>G20*1.0907</f>
        <v>0</v>
      </c>
      <c r="I20" s="240">
        <f t="shared" si="2"/>
        <v>0</v>
      </c>
      <c r="J20" s="240">
        <f>I20*1.065</f>
        <v>0</v>
      </c>
    </row>
    <row r="21" spans="1:10" ht="12.75">
      <c r="A21" s="242" t="s">
        <v>263</v>
      </c>
      <c r="B21" s="239"/>
      <c r="C21" s="239"/>
      <c r="D21" s="239"/>
      <c r="E21" s="240">
        <v>0</v>
      </c>
      <c r="F21" s="240">
        <v>0</v>
      </c>
      <c r="G21" s="240">
        <v>0</v>
      </c>
      <c r="H21" s="240">
        <f>G21*1.0907</f>
        <v>0</v>
      </c>
      <c r="I21" s="240">
        <f t="shared" si="2"/>
        <v>0</v>
      </c>
      <c r="J21" s="240">
        <f>I21*1.065</f>
        <v>0</v>
      </c>
    </row>
    <row r="22" spans="1:10" ht="12.75">
      <c r="A22" s="355" t="s">
        <v>88</v>
      </c>
      <c r="B22" s="356"/>
      <c r="C22" s="356"/>
      <c r="D22" s="356"/>
      <c r="E22" s="240">
        <f aca="true" t="shared" si="3" ref="E22:J22">SUM(E23:E27)</f>
        <v>1248615.49</v>
      </c>
      <c r="F22" s="240">
        <f t="shared" si="3"/>
        <v>1740732.81</v>
      </c>
      <c r="G22" s="240">
        <f>SUM(G23:G27)</f>
        <v>1895000</v>
      </c>
      <c r="H22" s="240">
        <f t="shared" si="3"/>
        <v>2066876.5</v>
      </c>
      <c r="I22" s="240">
        <f t="shared" si="3"/>
        <v>2201223.4725</v>
      </c>
      <c r="J22" s="240">
        <f t="shared" si="3"/>
        <v>2344302.9982125</v>
      </c>
    </row>
    <row r="23" spans="1:10" ht="12.75">
      <c r="A23" s="355" t="s">
        <v>264</v>
      </c>
      <c r="B23" s="356"/>
      <c r="C23" s="356"/>
      <c r="D23" s="356"/>
      <c r="E23" s="240">
        <v>0</v>
      </c>
      <c r="F23" s="240">
        <v>0</v>
      </c>
      <c r="G23" s="241">
        <v>50000</v>
      </c>
      <c r="H23" s="240">
        <f>G23*1.0907</f>
        <v>54535</v>
      </c>
      <c r="I23" s="240">
        <f t="shared" si="2"/>
        <v>58079.774999999994</v>
      </c>
      <c r="J23" s="240">
        <f>I23*1.065</f>
        <v>61854.96037499999</v>
      </c>
    </row>
    <row r="24" spans="1:10" ht="12.75">
      <c r="A24" s="355" t="s">
        <v>265</v>
      </c>
      <c r="B24" s="356"/>
      <c r="C24" s="356"/>
      <c r="D24" s="356"/>
      <c r="E24" s="240">
        <v>0</v>
      </c>
      <c r="F24" s="240">
        <v>0</v>
      </c>
      <c r="G24" s="241">
        <v>30000</v>
      </c>
      <c r="H24" s="240">
        <f>G24*1.0907</f>
        <v>32721</v>
      </c>
      <c r="I24" s="240">
        <f t="shared" si="2"/>
        <v>34847.865</v>
      </c>
      <c r="J24" s="240">
        <f>I24*1.065</f>
        <v>37112.976225</v>
      </c>
    </row>
    <row r="25" spans="1:10" ht="12.75">
      <c r="A25" s="355" t="s">
        <v>266</v>
      </c>
      <c r="B25" s="356"/>
      <c r="C25" s="356"/>
      <c r="D25" s="356"/>
      <c r="E25" s="240">
        <v>0</v>
      </c>
      <c r="F25" s="240">
        <f>(E25*0.05)+E25</f>
        <v>0</v>
      </c>
      <c r="G25" s="241">
        <v>0</v>
      </c>
      <c r="H25" s="240">
        <f>G25*1.0907</f>
        <v>0</v>
      </c>
      <c r="I25" s="240">
        <f t="shared" si="2"/>
        <v>0</v>
      </c>
      <c r="J25" s="240">
        <f>I25*1.065</f>
        <v>0</v>
      </c>
    </row>
    <row r="26" spans="1:10" ht="12.75">
      <c r="A26" s="355" t="s">
        <v>267</v>
      </c>
      <c r="B26" s="356"/>
      <c r="C26" s="356"/>
      <c r="D26" s="356"/>
      <c r="E26" s="240">
        <v>1248615.49</v>
      </c>
      <c r="F26" s="240">
        <v>1740732.81</v>
      </c>
      <c r="G26" s="241">
        <v>1815000</v>
      </c>
      <c r="H26" s="240">
        <f>G26*1.0907</f>
        <v>1979620.5</v>
      </c>
      <c r="I26" s="240">
        <f t="shared" si="2"/>
        <v>2108295.8325</v>
      </c>
      <c r="J26" s="240">
        <f>I26*1.065</f>
        <v>2245335.0616125</v>
      </c>
    </row>
    <row r="27" spans="1:10" ht="12.75">
      <c r="A27" s="355" t="s">
        <v>268</v>
      </c>
      <c r="B27" s="356"/>
      <c r="C27" s="356"/>
      <c r="D27" s="356"/>
      <c r="E27" s="240">
        <v>0</v>
      </c>
      <c r="F27" s="240">
        <v>0</v>
      </c>
      <c r="G27" s="243">
        <v>0</v>
      </c>
      <c r="H27" s="240">
        <f>G27*1.0907</f>
        <v>0</v>
      </c>
      <c r="I27" s="240">
        <f t="shared" si="2"/>
        <v>0</v>
      </c>
      <c r="J27" s="240">
        <f>I27*1.065</f>
        <v>0</v>
      </c>
    </row>
    <row r="28" spans="1:10" ht="12.75">
      <c r="A28" s="363" t="s">
        <v>269</v>
      </c>
      <c r="B28" s="364"/>
      <c r="C28" s="364"/>
      <c r="D28" s="364"/>
      <c r="E28" s="244">
        <f>SUM(E10+E22)</f>
        <v>21251670.669999998</v>
      </c>
      <c r="F28" s="244">
        <f>SUM(F10+F19+F22)</f>
        <v>23665663.439999998</v>
      </c>
      <c r="G28" s="244">
        <f>SUM(G10+G19+G22)</f>
        <v>30126222</v>
      </c>
      <c r="H28" s="244">
        <f>SUM(H10+H19+H22)</f>
        <v>32858670.335399996</v>
      </c>
      <c r="I28" s="244">
        <f>SUM(I10+I19+I22)</f>
        <v>34994483.907201</v>
      </c>
      <c r="J28" s="244">
        <f>SUM(J10+J19+J22)</f>
        <v>37269125.36116906</v>
      </c>
    </row>
    <row r="29" spans="1:10" ht="12.75">
      <c r="A29" s="176"/>
      <c r="B29" s="176"/>
      <c r="C29" s="176"/>
      <c r="D29" s="176"/>
      <c r="E29" s="176"/>
      <c r="F29" s="176"/>
      <c r="G29" s="176"/>
      <c r="H29" s="176"/>
      <c r="I29" s="176"/>
      <c r="J29" s="176"/>
    </row>
    <row r="30" spans="1:10" ht="12.75">
      <c r="A30" s="365" t="s">
        <v>399</v>
      </c>
      <c r="B30" s="349"/>
      <c r="C30" s="349"/>
      <c r="D30" s="349"/>
      <c r="E30" s="349"/>
      <c r="F30" s="176"/>
      <c r="G30" s="176"/>
      <c r="H30" s="246"/>
      <c r="I30" s="246"/>
      <c r="J30" s="246"/>
    </row>
    <row r="31" spans="1:10" ht="12.75">
      <c r="A31" s="176"/>
      <c r="B31" s="176"/>
      <c r="C31" s="176"/>
      <c r="D31" s="176"/>
      <c r="E31" s="246"/>
      <c r="F31" s="176"/>
      <c r="G31" s="246"/>
      <c r="H31" s="176"/>
      <c r="I31" s="176"/>
      <c r="J31" s="176"/>
    </row>
    <row r="32" spans="1:10" ht="12.75">
      <c r="A32" s="247"/>
      <c r="B32" s="247"/>
      <c r="C32" s="247"/>
      <c r="D32" s="247"/>
      <c r="E32" s="247"/>
      <c r="F32" s="247"/>
      <c r="G32" s="247"/>
      <c r="H32" s="247"/>
      <c r="I32" s="247"/>
      <c r="J32" s="247"/>
    </row>
    <row r="33" spans="1:10" ht="15.75">
      <c r="A33" s="366" t="s">
        <v>389</v>
      </c>
      <c r="B33" s="366"/>
      <c r="C33" s="366"/>
      <c r="D33" s="366"/>
      <c r="E33" s="249"/>
      <c r="F33" s="249"/>
      <c r="G33" s="249"/>
      <c r="H33" s="367" t="s">
        <v>390</v>
      </c>
      <c r="I33" s="367"/>
      <c r="J33" s="367"/>
    </row>
    <row r="34" spans="1:10" ht="12.75">
      <c r="A34" s="366" t="s">
        <v>165</v>
      </c>
      <c r="B34" s="366"/>
      <c r="C34" s="366"/>
      <c r="D34" s="366"/>
      <c r="E34" s="248"/>
      <c r="F34" s="248"/>
      <c r="G34" s="248"/>
      <c r="H34" s="250"/>
      <c r="I34" s="248" t="s">
        <v>400</v>
      </c>
      <c r="J34" s="250"/>
    </row>
  </sheetData>
  <sheetProtection/>
  <mergeCells count="30">
    <mergeCell ref="A28:D28"/>
    <mergeCell ref="A30:E30"/>
    <mergeCell ref="A33:D33"/>
    <mergeCell ref="H33:J33"/>
    <mergeCell ref="A34:D34"/>
    <mergeCell ref="A22:D22"/>
    <mergeCell ref="A23:D23"/>
    <mergeCell ref="A24:D24"/>
    <mergeCell ref="A25:D25"/>
    <mergeCell ref="A26:D26"/>
    <mergeCell ref="A27:D27"/>
    <mergeCell ref="A15:D15"/>
    <mergeCell ref="A16:D16"/>
    <mergeCell ref="A17:D17"/>
    <mergeCell ref="A18:D18"/>
    <mergeCell ref="A19:D19"/>
    <mergeCell ref="A20:D20"/>
    <mergeCell ref="H8:J8"/>
    <mergeCell ref="A10:D10"/>
    <mergeCell ref="A11:D11"/>
    <mergeCell ref="A12:D12"/>
    <mergeCell ref="A13:D13"/>
    <mergeCell ref="A14:D14"/>
    <mergeCell ref="B2:F2"/>
    <mergeCell ref="B1:F1"/>
    <mergeCell ref="B3:F3"/>
    <mergeCell ref="B5:F5"/>
    <mergeCell ref="B6:F6"/>
    <mergeCell ref="A8:D9"/>
    <mergeCell ref="E8:F8"/>
  </mergeCells>
  <printOptions horizontalCentered="1"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Q71"/>
  <sheetViews>
    <sheetView zoomScale="110" zoomScaleNormal="110" zoomScalePageLayoutView="0" workbookViewId="0" topLeftCell="A7">
      <selection activeCell="N11" sqref="N11"/>
    </sheetView>
  </sheetViews>
  <sheetFormatPr defaultColWidth="9.140625" defaultRowHeight="12.75"/>
  <cols>
    <col min="1" max="1" width="21.57421875" style="140" customWidth="1"/>
    <col min="2" max="2" width="12.8515625" style="140" customWidth="1"/>
    <col min="3" max="3" width="13.8515625" style="140" bestFit="1" customWidth="1"/>
    <col min="4" max="4" width="8.57421875" style="140" customWidth="1"/>
    <col min="5" max="5" width="12.421875" style="140" customWidth="1"/>
    <col min="6" max="6" width="8.57421875" style="140" customWidth="1"/>
    <col min="7" max="7" width="10.421875" style="140" customWidth="1"/>
    <col min="8" max="8" width="8.57421875" style="140" customWidth="1"/>
    <col min="9" max="9" width="9.8515625" style="140" customWidth="1"/>
    <col min="10" max="10" width="8.57421875" style="140" customWidth="1"/>
    <col min="11" max="11" width="10.421875" style="140" customWidth="1"/>
    <col min="12" max="12" width="8.57421875" style="140" customWidth="1"/>
    <col min="13" max="13" width="14.00390625" style="140" bestFit="1" customWidth="1"/>
    <col min="14" max="14" width="13.140625" style="140" bestFit="1" customWidth="1"/>
    <col min="15" max="15" width="14.421875" style="138" bestFit="1" customWidth="1"/>
    <col min="16" max="16" width="15.8515625" style="140" customWidth="1"/>
    <col min="17" max="17" width="13.421875" style="138" bestFit="1" customWidth="1"/>
    <col min="18" max="16384" width="9.140625" style="140" customWidth="1"/>
  </cols>
  <sheetData>
    <row r="1" spans="1:12" ht="11.25">
      <c r="A1" s="504" t="s">
        <v>98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6"/>
    </row>
    <row r="2" spans="1:12" ht="12.75" customHeight="1">
      <c r="A2" s="504" t="s">
        <v>106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6"/>
    </row>
    <row r="3" spans="1:15" ht="11.25">
      <c r="A3" s="504" t="s">
        <v>130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6"/>
      <c r="O3" s="139"/>
    </row>
    <row r="4" spans="1:12" ht="11.25">
      <c r="A4" s="504" t="s">
        <v>7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6"/>
    </row>
    <row r="5" spans="2:12" ht="11.25">
      <c r="B5" s="37" t="s">
        <v>37</v>
      </c>
      <c r="D5" s="35"/>
      <c r="E5" s="35"/>
      <c r="F5" s="35"/>
      <c r="G5" s="35"/>
      <c r="H5" s="35"/>
      <c r="I5" s="35"/>
      <c r="J5" s="35"/>
      <c r="K5" s="35"/>
      <c r="L5" s="36"/>
    </row>
    <row r="6" spans="1:12" ht="11.25">
      <c r="A6" s="504" t="s">
        <v>128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6"/>
    </row>
    <row r="7" spans="1:12" ht="11.25">
      <c r="A7" s="24" t="s">
        <v>128</v>
      </c>
      <c r="B7" s="24" t="s">
        <v>38</v>
      </c>
      <c r="C7" s="24"/>
      <c r="D7" s="24"/>
      <c r="E7" s="24"/>
      <c r="F7" s="24"/>
      <c r="G7" s="24"/>
      <c r="H7" s="24"/>
      <c r="I7" s="24"/>
      <c r="J7" s="24"/>
      <c r="K7" s="24"/>
      <c r="L7" s="52">
        <v>1</v>
      </c>
    </row>
    <row r="8" spans="1:12" ht="15.75" customHeight="1">
      <c r="A8" s="545" t="s">
        <v>93</v>
      </c>
      <c r="B8" s="548" t="s">
        <v>39</v>
      </c>
      <c r="C8" s="549"/>
      <c r="D8" s="549"/>
      <c r="E8" s="549"/>
      <c r="F8" s="549"/>
      <c r="G8" s="549"/>
      <c r="H8" s="549"/>
      <c r="I8" s="549"/>
      <c r="J8" s="549"/>
      <c r="K8" s="549"/>
      <c r="L8" s="550"/>
    </row>
    <row r="9" spans="1:17" s="141" customFormat="1" ht="15.75" customHeight="1">
      <c r="A9" s="546"/>
      <c r="B9" s="543" t="s">
        <v>105</v>
      </c>
      <c r="C9" s="543" t="s">
        <v>111</v>
      </c>
      <c r="D9" s="545" t="s">
        <v>84</v>
      </c>
      <c r="E9" s="543" t="s">
        <v>109</v>
      </c>
      <c r="F9" s="543" t="s">
        <v>84</v>
      </c>
      <c r="G9" s="543" t="s">
        <v>113</v>
      </c>
      <c r="H9" s="543" t="s">
        <v>84</v>
      </c>
      <c r="I9" s="543" t="s">
        <v>118</v>
      </c>
      <c r="J9" s="543" t="s">
        <v>84</v>
      </c>
      <c r="K9" s="543" t="s">
        <v>121</v>
      </c>
      <c r="L9" s="543" t="s">
        <v>84</v>
      </c>
      <c r="O9" s="142"/>
      <c r="Q9" s="142"/>
    </row>
    <row r="10" spans="1:17" s="141" customFormat="1" ht="15.75" customHeight="1">
      <c r="A10" s="547"/>
      <c r="B10" s="544"/>
      <c r="C10" s="544"/>
      <c r="D10" s="547"/>
      <c r="E10" s="544"/>
      <c r="F10" s="544"/>
      <c r="G10" s="544"/>
      <c r="H10" s="544"/>
      <c r="I10" s="544"/>
      <c r="J10" s="544"/>
      <c r="K10" s="544"/>
      <c r="L10" s="544"/>
      <c r="N10" s="141" t="s">
        <v>403</v>
      </c>
      <c r="O10" s="142"/>
      <c r="Q10" s="142"/>
    </row>
    <row r="11" spans="1:14" ht="11.25">
      <c r="A11" s="65" t="s">
        <v>40</v>
      </c>
      <c r="B11" s="159">
        <f>+'Resultado Primário'!F32</f>
        <v>21251670.669999998</v>
      </c>
      <c r="C11" s="159">
        <f>+'Resultado Primário'!G32</f>
        <v>23665663.439999998</v>
      </c>
      <c r="D11" s="78">
        <f>SUM(C11-B11)*100/B11</f>
        <v>11.359072928829645</v>
      </c>
      <c r="E11" s="159">
        <f>+'Resultado Primário'!H32</f>
        <v>30126222</v>
      </c>
      <c r="F11" s="62">
        <f aca="true" t="shared" si="0" ref="F11:F18">SUM(E11-C11)*100/C11</f>
        <v>27.299291973705188</v>
      </c>
      <c r="G11" s="54">
        <f>+'Resultado Primário'!I32</f>
        <v>32858670.335399996</v>
      </c>
      <c r="H11" s="56">
        <f aca="true" t="shared" si="1" ref="H11:H18">SUM(G11-E11)*100/E11</f>
        <v>9.06999999999999</v>
      </c>
      <c r="I11" s="54">
        <f>+'Resultado Primário'!J32</f>
        <v>34994483.907201</v>
      </c>
      <c r="J11" s="57">
        <f aca="true" t="shared" si="2" ref="J11:J18">SUM(I11-G11)*100/G11</f>
        <v>6.500000000000011</v>
      </c>
      <c r="K11" s="54">
        <f>+'Resultado Primário'!K32</f>
        <v>37269125.36116906</v>
      </c>
      <c r="L11" s="59">
        <f aca="true" t="shared" si="3" ref="L11:L18">SUM(K11-I11)*100/I11</f>
        <v>6.499999999999995</v>
      </c>
      <c r="M11" s="143"/>
      <c r="N11" s="329">
        <f aca="true" t="shared" si="4" ref="N11:N18">+K11*1.065</f>
        <v>39691618.50964505</v>
      </c>
    </row>
    <row r="12" spans="1:16" ht="11.25">
      <c r="A12" s="65" t="s">
        <v>41</v>
      </c>
      <c r="B12" s="159">
        <f>+'Resultado Primário'!F30</f>
        <v>21001857.61</v>
      </c>
      <c r="C12" s="159">
        <f>+'Resultado Primário'!G30</f>
        <v>23369185.529999997</v>
      </c>
      <c r="D12" s="79">
        <f aca="true" t="shared" si="5" ref="D12:D18">SUM(C12-B12)*100/B12</f>
        <v>11.271993001575247</v>
      </c>
      <c r="E12" s="159">
        <f>+'Resultado Primário'!H30</f>
        <v>29641222</v>
      </c>
      <c r="F12" s="63">
        <f t="shared" si="0"/>
        <v>26.838917693337354</v>
      </c>
      <c r="G12" s="54">
        <f>+'Resultado Primário'!I30</f>
        <v>32199203.993709996</v>
      </c>
      <c r="H12" s="57">
        <f t="shared" si="1"/>
        <v>8.629812879205845</v>
      </c>
      <c r="I12" s="54">
        <f>+'Resultado Primário'!J30</f>
        <v>34412669.7611385</v>
      </c>
      <c r="J12" s="57">
        <f t="shared" si="2"/>
        <v>6.874287227289518</v>
      </c>
      <c r="K12" s="54">
        <f>+'Resultado Primário'!K30</f>
        <v>36649493.2956125</v>
      </c>
      <c r="L12" s="60">
        <f t="shared" si="3"/>
        <v>6.499999999999994</v>
      </c>
      <c r="M12" s="143"/>
      <c r="N12" s="329">
        <f t="shared" si="4"/>
        <v>39031710.35982731</v>
      </c>
      <c r="P12" s="138"/>
    </row>
    <row r="13" spans="1:16" ht="11.25">
      <c r="A13" s="65" t="s">
        <v>42</v>
      </c>
      <c r="B13" s="159">
        <f>+'Resultado Primário'!F47</f>
        <v>20443233.419999998</v>
      </c>
      <c r="C13" s="159">
        <f>+'Resultado Primário'!G47</f>
        <v>22934969.04</v>
      </c>
      <c r="D13" s="79">
        <f t="shared" si="5"/>
        <v>12.188559259722044</v>
      </c>
      <c r="E13" s="159">
        <f>+'Resultado Primário'!H47</f>
        <v>30126222</v>
      </c>
      <c r="F13" s="63">
        <f t="shared" si="0"/>
        <v>31.354971299320322</v>
      </c>
      <c r="G13" s="54">
        <f>+'Resultado Primário'!I47</f>
        <v>32858670.3354</v>
      </c>
      <c r="H13" s="57">
        <f t="shared" si="1"/>
        <v>9.07</v>
      </c>
      <c r="I13" s="54">
        <f>+'Resultado Primário'!J47</f>
        <v>34994483.90720099</v>
      </c>
      <c r="J13" s="57">
        <f t="shared" si="2"/>
        <v>6.499999999999975</v>
      </c>
      <c r="K13" s="54">
        <f>+'Resultado Primário'!K47</f>
        <v>37269125.361169055</v>
      </c>
      <c r="L13" s="60">
        <f t="shared" si="3"/>
        <v>6.499999999999996</v>
      </c>
      <c r="M13" s="143"/>
      <c r="N13" s="329">
        <f t="shared" si="4"/>
        <v>39691618.509645045</v>
      </c>
      <c r="P13" s="138"/>
    </row>
    <row r="14" spans="1:14" ht="11.25">
      <c r="A14" s="65" t="s">
        <v>21</v>
      </c>
      <c r="B14" s="159">
        <f>+'Resultado Primário'!F45</f>
        <v>19674672.06</v>
      </c>
      <c r="C14" s="159">
        <f>+'Resultado Primário'!G45</f>
        <v>22206693.87</v>
      </c>
      <c r="D14" s="79">
        <f t="shared" si="5"/>
        <v>12.869448610265692</v>
      </c>
      <c r="E14" s="159">
        <f>+'Resultado Primário'!H45</f>
        <v>29273222</v>
      </c>
      <c r="F14" s="63">
        <f t="shared" si="0"/>
        <v>31.821612759504387</v>
      </c>
      <c r="G14" s="54">
        <f>+'Resultado Primário'!I45</f>
        <v>31928303.2354</v>
      </c>
      <c r="H14" s="57">
        <f t="shared" si="1"/>
        <v>9.069999999999995</v>
      </c>
      <c r="I14" s="54">
        <f>+'Resultado Primário'!J45</f>
        <v>34003642.94570099</v>
      </c>
      <c r="J14" s="57">
        <f t="shared" si="2"/>
        <v>6.499999999999967</v>
      </c>
      <c r="K14" s="54">
        <f>+'Resultado Primário'!K45</f>
        <v>36213879.73717156</v>
      </c>
      <c r="L14" s="60">
        <f t="shared" si="3"/>
        <v>6.500000000000024</v>
      </c>
      <c r="M14" s="143"/>
      <c r="N14" s="329">
        <f t="shared" si="4"/>
        <v>38567781.92008771</v>
      </c>
    </row>
    <row r="15" spans="1:14" ht="11.25">
      <c r="A15" s="65" t="s">
        <v>43</v>
      </c>
      <c r="B15" s="326">
        <f>+B12-B14</f>
        <v>1327185.5500000007</v>
      </c>
      <c r="C15" s="160">
        <f>+C12-C14</f>
        <v>1162491.6599999964</v>
      </c>
      <c r="D15" s="79">
        <f>SUM(C15-B15)*100/B15</f>
        <v>-12.409258825942178</v>
      </c>
      <c r="E15" s="326">
        <f>+E12-E14</f>
        <v>368000</v>
      </c>
      <c r="F15" s="63">
        <f t="shared" si="0"/>
        <v>-68.34385891422214</v>
      </c>
      <c r="G15" s="54">
        <f>+G12-G14</f>
        <v>270900.7583099976</v>
      </c>
      <c r="H15" s="57">
        <f>SUM(G15-E15)*100/E15</f>
        <v>-26.38566350271804</v>
      </c>
      <c r="I15" s="54">
        <f>+I12-I14</f>
        <v>409026.8154375106</v>
      </c>
      <c r="J15" s="57">
        <f t="shared" si="2"/>
        <v>50.98769674518679</v>
      </c>
      <c r="K15" s="54">
        <f>+K12-K14</f>
        <v>435613.5584409386</v>
      </c>
      <c r="L15" s="60">
        <f t="shared" si="3"/>
        <v>6.499999999997504</v>
      </c>
      <c r="M15" s="143"/>
      <c r="N15" s="329">
        <f t="shared" si="4"/>
        <v>463928.4397395996</v>
      </c>
    </row>
    <row r="16" spans="1:14" ht="11.25">
      <c r="A16" s="65" t="s">
        <v>44</v>
      </c>
      <c r="B16" s="159">
        <f>+'Resultado Nominal'!E21</f>
        <v>-1771515.1899999995</v>
      </c>
      <c r="C16" s="160">
        <f>+'Resultado Nominal'!F21</f>
        <v>-672979.8700000001</v>
      </c>
      <c r="D16" s="79">
        <f t="shared" si="5"/>
        <v>-62.01105845442961</v>
      </c>
      <c r="E16" s="54">
        <f>+'Resultado Nominal'!G21</f>
        <v>-900338.29981538</v>
      </c>
      <c r="F16" s="63">
        <f t="shared" si="0"/>
        <v>33.78383811322319</v>
      </c>
      <c r="G16" s="54">
        <f>+'Resultado Nominal'!H21</f>
        <v>-409749.24023845466</v>
      </c>
      <c r="H16" s="57">
        <f t="shared" si="1"/>
        <v>-54.48941355460761</v>
      </c>
      <c r="I16" s="54">
        <f>+'Resultado Nominal'!I21</f>
        <v>1892.8814269760624</v>
      </c>
      <c r="J16" s="57">
        <f t="shared" si="2"/>
        <v>-100.46196093637037</v>
      </c>
      <c r="K16" s="54">
        <f>+'Resultado Nominal'!J21</f>
        <v>-192233.2606708114</v>
      </c>
      <c r="L16" s="60">
        <f t="shared" si="3"/>
        <v>-10255.589142100152</v>
      </c>
      <c r="M16" s="143"/>
      <c r="N16" s="329">
        <f t="shared" si="4"/>
        <v>-204728.42261441413</v>
      </c>
    </row>
    <row r="17" spans="1:14" ht="11.25">
      <c r="A17" s="65" t="s">
        <v>45</v>
      </c>
      <c r="B17" s="159">
        <f>+'Resultado Nominal'!E10</f>
        <v>5417270.82</v>
      </c>
      <c r="C17" s="160">
        <f>+'Resultado Nominal'!F10</f>
        <v>4474617.92</v>
      </c>
      <c r="D17" s="79">
        <f>SUM(C17-B17)*100/B17</f>
        <v>-17.400881944462217</v>
      </c>
      <c r="E17" s="54">
        <f>+'Resultado Nominal'!G10</f>
        <v>4139021.576</v>
      </c>
      <c r="F17" s="63">
        <f t="shared" si="0"/>
        <v>-7.500000000000002</v>
      </c>
      <c r="G17" s="54">
        <f>+'Resultado Nominal'!H10</f>
        <v>4408057.97844</v>
      </c>
      <c r="H17" s="57">
        <f t="shared" si="1"/>
        <v>6.499999999999997</v>
      </c>
      <c r="I17" s="54">
        <f>+'Resultado Nominal'!I10</f>
        <v>5034002.211378479</v>
      </c>
      <c r="J17" s="57">
        <f t="shared" si="2"/>
        <v>14.199999999999992</v>
      </c>
      <c r="K17" s="54">
        <f>+'Resultado Nominal'!J10</f>
        <v>5537402.432516328</v>
      </c>
      <c r="L17" s="60">
        <f t="shared" si="3"/>
        <v>10.000000000000014</v>
      </c>
      <c r="M17" s="143"/>
      <c r="N17" s="329">
        <f t="shared" si="4"/>
        <v>5897333.590629889</v>
      </c>
    </row>
    <row r="18" spans="1:15" ht="11.25">
      <c r="A18" s="66" t="s">
        <v>36</v>
      </c>
      <c r="B18" s="159">
        <f>+'Resultado Nominal'!E15</f>
        <v>3458920.0700000003</v>
      </c>
      <c r="C18" s="160">
        <f>+'Resultado Nominal'!F15</f>
        <v>1911011.58</v>
      </c>
      <c r="D18" s="80">
        <f t="shared" si="5"/>
        <v>-44.75120727493423</v>
      </c>
      <c r="E18" s="55">
        <f>+'Resultado Nominal'!G15</f>
        <v>1408780.8239000002</v>
      </c>
      <c r="F18" s="64">
        <f t="shared" si="0"/>
        <v>-26.280885022161918</v>
      </c>
      <c r="G18" s="54">
        <f>+'Resultado Nominal'!H15</f>
        <v>1430184.39012453</v>
      </c>
      <c r="H18" s="58">
        <f t="shared" si="1"/>
        <v>1.5192971015375751</v>
      </c>
      <c r="I18" s="55">
        <f>+'Resultado Nominal'!I15</f>
        <v>1769087.1259130999</v>
      </c>
      <c r="J18" s="58">
        <f t="shared" si="2"/>
        <v>23.696436496489838</v>
      </c>
      <c r="K18" s="55">
        <f>+'Resultado Nominal'!J15</f>
        <v>1935769.3601373853</v>
      </c>
      <c r="L18" s="61">
        <f t="shared" si="3"/>
        <v>9.421934724568967</v>
      </c>
      <c r="M18" s="144"/>
      <c r="N18" s="329">
        <f t="shared" si="4"/>
        <v>2061594.3685463152</v>
      </c>
      <c r="O18" s="145"/>
    </row>
    <row r="19" spans="1:13" ht="15.75" customHeight="1">
      <c r="A19" s="545" t="s">
        <v>93</v>
      </c>
      <c r="B19" s="548" t="s">
        <v>96</v>
      </c>
      <c r="C19" s="549"/>
      <c r="D19" s="549"/>
      <c r="E19" s="557"/>
      <c r="F19" s="549"/>
      <c r="G19" s="549"/>
      <c r="H19" s="549"/>
      <c r="I19" s="549"/>
      <c r="J19" s="549"/>
      <c r="K19" s="549"/>
      <c r="L19" s="550"/>
      <c r="M19" s="138"/>
    </row>
    <row r="20" spans="1:17" s="141" customFormat="1" ht="15.75" customHeight="1">
      <c r="A20" s="546"/>
      <c r="B20" s="543" t="str">
        <f>B9</f>
        <v>Ano de 2015</v>
      </c>
      <c r="C20" s="543" t="str">
        <f>C9</f>
        <v>Ano de 2016</v>
      </c>
      <c r="D20" s="545" t="s">
        <v>84</v>
      </c>
      <c r="E20" s="543" t="str">
        <f>E9</f>
        <v>Ano 2017</v>
      </c>
      <c r="F20" s="543" t="s">
        <v>84</v>
      </c>
      <c r="G20" s="543" t="str">
        <f>G9</f>
        <v>Ano 2018</v>
      </c>
      <c r="H20" s="543" t="s">
        <v>84</v>
      </c>
      <c r="I20" s="543" t="str">
        <f>I9</f>
        <v>Ano 2019</v>
      </c>
      <c r="J20" s="543" t="s">
        <v>84</v>
      </c>
      <c r="K20" s="543" t="str">
        <f>K9</f>
        <v>Ano 2020</v>
      </c>
      <c r="L20" s="543" t="s">
        <v>84</v>
      </c>
      <c r="M20" s="142"/>
      <c r="O20" s="142"/>
      <c r="Q20" s="142"/>
    </row>
    <row r="21" spans="1:17" s="141" customFormat="1" ht="15.75" customHeight="1">
      <c r="A21" s="547"/>
      <c r="B21" s="551"/>
      <c r="C21" s="551"/>
      <c r="D21" s="547"/>
      <c r="E21" s="551"/>
      <c r="F21" s="544"/>
      <c r="G21" s="544"/>
      <c r="H21" s="544"/>
      <c r="I21" s="544"/>
      <c r="J21" s="544"/>
      <c r="K21" s="551"/>
      <c r="L21" s="544"/>
      <c r="M21" s="142"/>
      <c r="O21" s="142"/>
      <c r="Q21" s="142"/>
    </row>
    <row r="22" spans="1:14" ht="11.25">
      <c r="A22" s="81" t="s">
        <v>40</v>
      </c>
      <c r="B22" s="86">
        <f>B11/1.0591</f>
        <v>20065782.900575962</v>
      </c>
      <c r="C22" s="101">
        <f>C11/1.0641</f>
        <v>22240074.65463772</v>
      </c>
      <c r="D22" s="62">
        <f>SUM(C22-B22)*100/B22</f>
        <v>10.835818192767093</v>
      </c>
      <c r="E22" s="101">
        <f>+E11</f>
        <v>30126222</v>
      </c>
      <c r="F22" s="104">
        <f>SUM(E22-C22)*100/C22</f>
        <v>35.45917658921969</v>
      </c>
      <c r="G22" s="99">
        <f>G11/1.056</f>
        <v>31116165.090340905</v>
      </c>
      <c r="H22" s="83">
        <f>SUM(G22-E22)*100/E22</f>
        <v>3.2859848484848344</v>
      </c>
      <c r="I22" s="99">
        <f>I11/1.121</f>
        <v>31217202.414987512</v>
      </c>
      <c r="J22" s="79">
        <f>SUM(I22-G22)*100/G22</f>
        <v>0.3247100802854755</v>
      </c>
      <c r="K22" s="53">
        <f>K11/1.181</f>
        <v>31557261.101751957</v>
      </c>
      <c r="L22" s="104">
        <f>SUM(K22-I22)*100/I22</f>
        <v>1.089331075359852</v>
      </c>
      <c r="M22" s="144"/>
      <c r="N22" s="146"/>
    </row>
    <row r="23" spans="1:13" ht="11.25">
      <c r="A23" s="81" t="s">
        <v>41</v>
      </c>
      <c r="B23" s="87">
        <f>B12/1.0591</f>
        <v>19829909.93296195</v>
      </c>
      <c r="C23" s="102">
        <f>C12/1.0641</f>
        <v>21961456.18832816</v>
      </c>
      <c r="D23" s="63">
        <f aca="true" t="shared" si="6" ref="D23:D29">SUM(C23-B23)*100/B23</f>
        <v>10.74914743724118</v>
      </c>
      <c r="E23" s="102">
        <f>+E12</f>
        <v>29641222</v>
      </c>
      <c r="F23" s="104">
        <f aca="true" t="shared" si="7" ref="F23:F29">SUM(E23-C23)*100/C23</f>
        <v>34.96929231748029</v>
      </c>
      <c r="G23" s="99">
        <f>G12/1.056</f>
        <v>30491670.448589012</v>
      </c>
      <c r="H23" s="83">
        <f aca="true" t="shared" si="8" ref="H23:H29">SUM(G23-E23)*100/E23</f>
        <v>2.869140984096445</v>
      </c>
      <c r="I23" s="99">
        <f>I12/1.121</f>
        <v>30698188.903780997</v>
      </c>
      <c r="J23" s="79">
        <f aca="true" t="shared" si="9" ref="J23:L29">SUM(I23-G23)*100/G23</f>
        <v>0.6772946583565785</v>
      </c>
      <c r="K23" s="54">
        <f aca="true" t="shared" si="10" ref="K23:K29">K12/1.181</f>
        <v>31032593.815082554</v>
      </c>
      <c r="L23" s="104">
        <f t="shared" si="9"/>
        <v>1.0893310753598542</v>
      </c>
      <c r="M23" s="144"/>
    </row>
    <row r="24" spans="1:13" ht="11.25">
      <c r="A24" s="81" t="s">
        <v>42</v>
      </c>
      <c r="B24" s="87">
        <f>B13/1.0591</f>
        <v>19302458.14370692</v>
      </c>
      <c r="C24" s="102">
        <f>C13/1.0641</f>
        <v>21553396.334930927</v>
      </c>
      <c r="D24" s="63">
        <f t="shared" si="6"/>
        <v>11.661406927893621</v>
      </c>
      <c r="E24" s="102">
        <f aca="true" t="shared" si="11" ref="E24:E29">+E13</f>
        <v>30126222</v>
      </c>
      <c r="F24" s="104">
        <f t="shared" si="7"/>
        <v>39.774824959606754</v>
      </c>
      <c r="G24" s="99">
        <f>G13/1.056</f>
        <v>31116165.09034091</v>
      </c>
      <c r="H24" s="83">
        <f t="shared" si="8"/>
        <v>3.285984848484847</v>
      </c>
      <c r="I24" s="99">
        <f>I13/1.121</f>
        <v>31217202.414987504</v>
      </c>
      <c r="J24" s="79">
        <f t="shared" si="9"/>
        <v>0.3247100802854395</v>
      </c>
      <c r="K24" s="54">
        <f t="shared" si="10"/>
        <v>31557261.10175195</v>
      </c>
      <c r="L24" s="104">
        <f t="shared" si="9"/>
        <v>1.0893310753598522</v>
      </c>
      <c r="M24" s="144"/>
    </row>
    <row r="25" spans="1:13" ht="11.25">
      <c r="A25" s="81" t="s">
        <v>21</v>
      </c>
      <c r="B25" s="87">
        <f>B14/1.0591</f>
        <v>18576784.118591256</v>
      </c>
      <c r="C25" s="102">
        <f>C14/1.0641</f>
        <v>20868991.513955455</v>
      </c>
      <c r="D25" s="63">
        <f t="shared" si="6"/>
        <v>12.339096911129012</v>
      </c>
      <c r="E25" s="102">
        <f t="shared" si="11"/>
        <v>29273222</v>
      </c>
      <c r="F25" s="104">
        <f t="shared" si="7"/>
        <v>40.27137813738863</v>
      </c>
      <c r="G25" s="99">
        <f>G14/1.056</f>
        <v>30235135.63958333</v>
      </c>
      <c r="H25" s="83">
        <f t="shared" si="8"/>
        <v>3.2859848484848393</v>
      </c>
      <c r="I25" s="99">
        <f>I14/1.121</f>
        <v>30333312.17279303</v>
      </c>
      <c r="J25" s="79">
        <f t="shared" si="9"/>
        <v>0.32471008028543147</v>
      </c>
      <c r="K25" s="54">
        <f t="shared" si="10"/>
        <v>30663742.368477188</v>
      </c>
      <c r="L25" s="104">
        <f t="shared" si="9"/>
        <v>1.0893310753598853</v>
      </c>
      <c r="M25" s="144"/>
    </row>
    <row r="26" spans="1:13" ht="11.25">
      <c r="A26" s="81" t="s">
        <v>43</v>
      </c>
      <c r="B26" s="112">
        <f>+B23-B25</f>
        <v>1253125.8143706918</v>
      </c>
      <c r="C26" s="54">
        <f>+C23-C25</f>
        <v>1092464.6743727066</v>
      </c>
      <c r="D26" s="63">
        <f t="shared" si="6"/>
        <v>-12.820830770186292</v>
      </c>
      <c r="E26" s="102">
        <f t="shared" si="11"/>
        <v>368000</v>
      </c>
      <c r="F26" s="104">
        <f t="shared" si="7"/>
        <v>-66.31470027062379</v>
      </c>
      <c r="G26" s="112">
        <f>+G23-G25</f>
        <v>256534.80900568143</v>
      </c>
      <c r="H26" s="83">
        <f t="shared" si="8"/>
        <v>-30.28945407454309</v>
      </c>
      <c r="I26" s="112">
        <f>+I23-I25</f>
        <v>364876.73098796606</v>
      </c>
      <c r="J26" s="79">
        <f t="shared" si="9"/>
        <v>42.23283475728442</v>
      </c>
      <c r="K26" s="54">
        <f t="shared" si="10"/>
        <v>368851.4466053671</v>
      </c>
      <c r="L26" s="104">
        <f t="shared" si="9"/>
        <v>1.0893310753576526</v>
      </c>
      <c r="M26" s="144"/>
    </row>
    <row r="27" spans="1:13" ht="11.25">
      <c r="A27" s="81" t="s">
        <v>44</v>
      </c>
      <c r="B27" s="87">
        <f>B16/1.0591</f>
        <v>-1672660.9290907371</v>
      </c>
      <c r="C27" s="102">
        <f>C16/1.0641</f>
        <v>-632440.4379287661</v>
      </c>
      <c r="D27" s="63">
        <f t="shared" si="6"/>
        <v>-62.189561140011655</v>
      </c>
      <c r="E27" s="102">
        <f t="shared" si="11"/>
        <v>-900338.29981538</v>
      </c>
      <c r="F27" s="104">
        <f t="shared" si="7"/>
        <v>42.359382136280814</v>
      </c>
      <c r="G27" s="99">
        <f>G16/1.056</f>
        <v>-388020.11386217293</v>
      </c>
      <c r="H27" s="83">
        <f t="shared" si="8"/>
        <v>-56.90285374489357</v>
      </c>
      <c r="I27" s="99">
        <f>I16/1.121</f>
        <v>1688.5650552864072</v>
      </c>
      <c r="J27" s="79">
        <f t="shared" si="9"/>
        <v>-100.43517461981008</v>
      </c>
      <c r="K27" s="54">
        <f t="shared" si="10"/>
        <v>-162771.6009066989</v>
      </c>
      <c r="L27" s="104">
        <f t="shared" si="9"/>
        <v>-9739.64049813232</v>
      </c>
      <c r="M27" s="144"/>
    </row>
    <row r="28" spans="1:13" ht="11.25">
      <c r="A28" s="81" t="s">
        <v>45</v>
      </c>
      <c r="B28" s="87">
        <f>B17/1.0591</f>
        <v>5114975.752997829</v>
      </c>
      <c r="C28" s="102">
        <f>C17/1.0641</f>
        <v>4205072.756319894</v>
      </c>
      <c r="D28" s="63">
        <f t="shared" si="6"/>
        <v>-17.78899921753589</v>
      </c>
      <c r="E28" s="102">
        <f t="shared" si="11"/>
        <v>4139021.576</v>
      </c>
      <c r="F28" s="104">
        <f t="shared" si="7"/>
        <v>-1.5707499999999959</v>
      </c>
      <c r="G28" s="99">
        <f>G17/1.056</f>
        <v>4174297.3280681814</v>
      </c>
      <c r="H28" s="83">
        <f t="shared" si="8"/>
        <v>0.8522727272727202</v>
      </c>
      <c r="I28" s="99">
        <f>I17/1.121</f>
        <v>4490635.335752435</v>
      </c>
      <c r="J28" s="79">
        <f t="shared" si="9"/>
        <v>7.578233719892956</v>
      </c>
      <c r="K28" s="54">
        <f t="shared" si="10"/>
        <v>4688740.417033301</v>
      </c>
      <c r="L28" s="104">
        <f t="shared" si="9"/>
        <v>4.41151566469095</v>
      </c>
      <c r="M28" s="144"/>
    </row>
    <row r="29" spans="1:13" ht="11.25">
      <c r="A29" s="82" t="s">
        <v>36</v>
      </c>
      <c r="B29" s="88">
        <f>B18/1.0591</f>
        <v>3265905.0797847235</v>
      </c>
      <c r="C29" s="103">
        <f>C18/1.0641</f>
        <v>1795894.7279391035</v>
      </c>
      <c r="D29" s="64">
        <f t="shared" si="6"/>
        <v>-45.01081066148186</v>
      </c>
      <c r="E29" s="103">
        <f t="shared" si="11"/>
        <v>1408780.8239000002</v>
      </c>
      <c r="F29" s="105">
        <f t="shared" si="7"/>
        <v>-21.555489752082497</v>
      </c>
      <c r="G29" s="99">
        <f>G18/1.056</f>
        <v>1354341.278527017</v>
      </c>
      <c r="H29" s="84">
        <f t="shared" si="8"/>
        <v>-3.8643019871803355</v>
      </c>
      <c r="I29" s="99">
        <f>I18/1.121</f>
        <v>1578133.0293604815</v>
      </c>
      <c r="J29" s="80">
        <f t="shared" si="9"/>
        <v>16.52402938473977</v>
      </c>
      <c r="K29" s="55">
        <f t="shared" si="10"/>
        <v>1639093.4463483363</v>
      </c>
      <c r="L29" s="105">
        <f t="shared" si="9"/>
        <v>3.862818650501105</v>
      </c>
      <c r="M29" s="143"/>
    </row>
    <row r="30" spans="1:12" ht="11.25">
      <c r="A30" s="496" t="s">
        <v>94</v>
      </c>
      <c r="B30" s="556"/>
      <c r="C30" s="556"/>
      <c r="D30" s="556"/>
      <c r="E30" s="556"/>
      <c r="F30" s="556"/>
      <c r="G30" s="496"/>
      <c r="H30" s="556"/>
      <c r="I30" s="496"/>
      <c r="J30" s="556"/>
      <c r="K30" s="556"/>
      <c r="L30" s="496"/>
    </row>
    <row r="31" spans="1:17" ht="11.25">
      <c r="A31" s="140" t="s">
        <v>131</v>
      </c>
      <c r="Q31" s="140"/>
    </row>
    <row r="32" spans="1:17" ht="11.25">
      <c r="A32" s="147" t="s">
        <v>123</v>
      </c>
      <c r="Q32" s="140"/>
    </row>
    <row r="33" spans="15:17" ht="11.25">
      <c r="O33" s="140"/>
      <c r="Q33" s="140"/>
    </row>
    <row r="34" spans="1:17" ht="12.75" customHeight="1">
      <c r="A34" s="140" t="s">
        <v>107</v>
      </c>
      <c r="N34" s="138"/>
      <c r="P34" s="138"/>
      <c r="Q34" s="140"/>
    </row>
    <row r="35" spans="1:17" ht="12.75" customHeight="1">
      <c r="A35" s="350" t="s">
        <v>136</v>
      </c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122"/>
      <c r="N35" s="148"/>
      <c r="O35" s="140"/>
      <c r="Q35" s="140"/>
    </row>
    <row r="36" spans="1:12" ht="12.75">
      <c r="A36" s="162">
        <v>2014</v>
      </c>
      <c r="B36" s="163"/>
      <c r="C36" s="162">
        <v>2015</v>
      </c>
      <c r="D36" s="163"/>
      <c r="E36" s="351">
        <v>2016</v>
      </c>
      <c r="F36" s="352"/>
      <c r="G36" s="351">
        <v>2017</v>
      </c>
      <c r="H36" s="352"/>
      <c r="I36" s="351">
        <v>2018</v>
      </c>
      <c r="J36" s="352"/>
      <c r="K36" s="350">
        <v>2019</v>
      </c>
      <c r="L36" s="350"/>
    </row>
    <row r="37" spans="1:12" ht="12.75">
      <c r="A37" s="408">
        <v>6.14</v>
      </c>
      <c r="B37" s="409"/>
      <c r="C37" s="408">
        <v>10.67</v>
      </c>
      <c r="D37" s="409"/>
      <c r="E37" s="541">
        <v>6.58</v>
      </c>
      <c r="F37" s="542"/>
      <c r="G37" s="425">
        <v>5.95</v>
      </c>
      <c r="H37" s="426"/>
      <c r="I37" s="554" t="s">
        <v>392</v>
      </c>
      <c r="J37" s="555"/>
      <c r="K37" s="554" t="s">
        <v>392</v>
      </c>
      <c r="L37" s="555"/>
    </row>
    <row r="38" spans="1:12" ht="11.25" customHeight="1">
      <c r="A38" s="351" t="s">
        <v>137</v>
      </c>
      <c r="B38" s="413"/>
      <c r="C38" s="413"/>
      <c r="D38" s="413"/>
      <c r="E38" s="413"/>
      <c r="F38" s="413"/>
      <c r="G38" s="413"/>
      <c r="H38" s="413"/>
      <c r="I38" s="413"/>
      <c r="J38" s="413"/>
      <c r="K38" s="413"/>
      <c r="L38" s="352"/>
    </row>
    <row r="39" spans="1:12" ht="11.25">
      <c r="A39" s="536" t="s">
        <v>393</v>
      </c>
      <c r="B39" s="537"/>
      <c r="C39" s="536" t="s">
        <v>138</v>
      </c>
      <c r="D39" s="537"/>
      <c r="E39" s="553" t="s">
        <v>139</v>
      </c>
      <c r="F39" s="553"/>
      <c r="G39" s="534" t="s">
        <v>394</v>
      </c>
      <c r="H39" s="535"/>
      <c r="I39" s="536" t="s">
        <v>395</v>
      </c>
      <c r="J39" s="537"/>
      <c r="K39" s="536" t="s">
        <v>396</v>
      </c>
      <c r="L39" s="537"/>
    </row>
    <row r="40" spans="1:12" ht="11.25">
      <c r="A40" s="552" t="s">
        <v>140</v>
      </c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2"/>
    </row>
    <row r="41" ht="11.25">
      <c r="B41" s="138"/>
    </row>
    <row r="42" spans="2:5" ht="11.25">
      <c r="B42" s="138"/>
      <c r="C42" s="138"/>
      <c r="D42" s="146"/>
      <c r="E42" s="152"/>
    </row>
    <row r="44" ht="11.25">
      <c r="I44" s="138"/>
    </row>
    <row r="45" ht="11.25">
      <c r="I45" s="138"/>
    </row>
    <row r="46" spans="2:11" ht="11.25">
      <c r="B46" s="140">
        <v>2016</v>
      </c>
      <c r="C46" s="533">
        <v>23665663.44</v>
      </c>
      <c r="D46" s="533"/>
      <c r="E46" s="540">
        <f>+C46-C47</f>
        <v>2413992.7699999996</v>
      </c>
      <c r="F46" s="540"/>
      <c r="G46" s="140">
        <f>E46*100/C47</f>
        <v>11.359072928829644</v>
      </c>
      <c r="I46" s="324">
        <f>SUM(G46:G48)/3</f>
        <v>9.070478228190368</v>
      </c>
      <c r="K46" s="155">
        <f>+C46/C47</f>
        <v>1.1135907292882965</v>
      </c>
    </row>
    <row r="47" spans="2:11" ht="11.25">
      <c r="B47" s="140">
        <v>2015</v>
      </c>
      <c r="C47" s="533">
        <v>21251670.67</v>
      </c>
      <c r="D47" s="533"/>
      <c r="E47" s="540">
        <f>+C47-C48</f>
        <v>2105079.210000001</v>
      </c>
      <c r="F47" s="540"/>
      <c r="G47" s="140">
        <f>E47*100/C48</f>
        <v>10.994537666914844</v>
      </c>
      <c r="H47" s="138"/>
      <c r="I47" s="138"/>
      <c r="K47" s="155">
        <f>+C47/C48</f>
        <v>1.1099453766691485</v>
      </c>
    </row>
    <row r="48" spans="2:13" ht="11.25">
      <c r="B48" s="140">
        <v>2014</v>
      </c>
      <c r="C48" s="532">
        <v>19146591.46</v>
      </c>
      <c r="D48" s="532"/>
      <c r="E48" s="540">
        <f>+C48-C49</f>
        <v>887017.9600000009</v>
      </c>
      <c r="F48" s="540"/>
      <c r="G48" s="140">
        <f>E48*100/C49</f>
        <v>4.857824088826614</v>
      </c>
      <c r="H48" s="138"/>
      <c r="I48" s="138"/>
      <c r="K48" s="155">
        <f>+C48/C49</f>
        <v>1.0485782408882662</v>
      </c>
      <c r="M48" s="325">
        <f>SUM(K46:K48)/3</f>
        <v>1.0907047822819036</v>
      </c>
    </row>
    <row r="49" spans="2:9" ht="11.25">
      <c r="B49" s="140">
        <v>2013</v>
      </c>
      <c r="C49" s="532">
        <v>18259573.5</v>
      </c>
      <c r="D49" s="532"/>
      <c r="E49" s="540"/>
      <c r="F49" s="540"/>
      <c r="H49" s="138"/>
      <c r="I49" s="138"/>
    </row>
    <row r="50" spans="3:13" ht="11.25">
      <c r="C50" s="149"/>
      <c r="D50" s="149"/>
      <c r="F50" s="138"/>
      <c r="G50" s="138"/>
      <c r="H50" s="138"/>
      <c r="I50" s="138"/>
      <c r="M50" s="140">
        <v>1.0907047822819036</v>
      </c>
    </row>
    <row r="51" spans="3:9" ht="11.25">
      <c r="C51" s="149"/>
      <c r="D51" s="149"/>
      <c r="F51" s="138"/>
      <c r="G51" s="138">
        <f>G49/3</f>
        <v>0</v>
      </c>
      <c r="H51" s="138"/>
      <c r="I51" s="138"/>
    </row>
    <row r="52" spans="5:16" ht="11.25">
      <c r="E52" s="138"/>
      <c r="F52" s="138"/>
      <c r="G52" s="138">
        <v>5.6</v>
      </c>
      <c r="H52" s="138"/>
      <c r="I52" s="138"/>
      <c r="M52" s="150"/>
      <c r="P52" s="138"/>
    </row>
    <row r="53" spans="5:16" ht="11.25">
      <c r="E53" s="138"/>
      <c r="F53" s="138"/>
      <c r="G53" s="138">
        <f>SUM(G51:G52)</f>
        <v>5.6</v>
      </c>
      <c r="H53" s="138"/>
      <c r="I53" s="138"/>
      <c r="P53" s="138"/>
    </row>
    <row r="54" spans="3:16" ht="11.25">
      <c r="C54" s="140">
        <v>2016</v>
      </c>
      <c r="E54" s="138">
        <v>23665663.44</v>
      </c>
      <c r="F54" s="138"/>
      <c r="G54" s="138"/>
      <c r="H54" s="138"/>
      <c r="I54" s="138"/>
      <c r="P54" s="138"/>
    </row>
    <row r="55" spans="5:16" ht="11.25">
      <c r="E55" s="138"/>
      <c r="F55" s="138"/>
      <c r="G55" s="138"/>
      <c r="H55" s="138"/>
      <c r="I55" s="138"/>
      <c r="P55" s="138"/>
    </row>
    <row r="56" spans="2:9" ht="11.25">
      <c r="B56" s="140" t="s">
        <v>122</v>
      </c>
      <c r="C56" s="140">
        <v>2015</v>
      </c>
      <c r="D56" s="146"/>
      <c r="E56" s="138">
        <v>21251670.67</v>
      </c>
      <c r="F56" s="138"/>
      <c r="G56" s="138"/>
      <c r="H56" s="138"/>
      <c r="I56" s="138"/>
    </row>
    <row r="57" spans="4:11" ht="11.25">
      <c r="D57" s="146"/>
      <c r="E57" s="138"/>
      <c r="F57" s="532">
        <f>E56-E58</f>
        <v>2559262.7600000016</v>
      </c>
      <c r="G57" s="532"/>
      <c r="H57" s="151">
        <f>((F57*100)/E58)/100</f>
        <v>0.13691455762801197</v>
      </c>
      <c r="I57" s="138"/>
      <c r="K57" s="155">
        <f>+E54/E56</f>
        <v>1.1135907292882965</v>
      </c>
    </row>
    <row r="58" spans="3:11" ht="11.25">
      <c r="C58" s="140">
        <v>2014</v>
      </c>
      <c r="E58" s="138">
        <v>18692407.91</v>
      </c>
      <c r="K58" s="155">
        <f>+E56/E58</f>
        <v>1.136914557628012</v>
      </c>
    </row>
    <row r="59" spans="5:11" ht="11.25">
      <c r="E59" s="138"/>
      <c r="F59" s="532"/>
      <c r="G59" s="532"/>
      <c r="H59" s="151"/>
      <c r="K59" s="155">
        <f>+E58/E60</f>
        <v>1.023704519166343</v>
      </c>
    </row>
    <row r="60" spans="3:11" ht="11.25">
      <c r="C60" s="140">
        <v>2013</v>
      </c>
      <c r="E60" s="138">
        <v>18259573.5</v>
      </c>
      <c r="K60" s="155">
        <f>SUM(K57:K59)/3</f>
        <v>1.091403268694217</v>
      </c>
    </row>
    <row r="61" spans="5:8" ht="11.25">
      <c r="E61" s="152"/>
      <c r="F61" s="538"/>
      <c r="G61" s="539"/>
      <c r="H61" s="153"/>
    </row>
    <row r="62" spans="6:11" ht="11.25">
      <c r="F62" s="146"/>
      <c r="K62" s="140">
        <v>1.091403268694217</v>
      </c>
    </row>
    <row r="63" ht="11.25">
      <c r="H63" s="153">
        <f>H57/2</f>
        <v>0.06845727881400598</v>
      </c>
    </row>
    <row r="64" ht="11.25">
      <c r="H64" s="153">
        <f>E37/100</f>
        <v>0.0658</v>
      </c>
    </row>
    <row r="65" spans="6:8" ht="11.25">
      <c r="F65" s="138"/>
      <c r="H65" s="154">
        <f>H63+H64</f>
        <v>0.13425727881400598</v>
      </c>
    </row>
    <row r="66" ht="11.25">
      <c r="F66" s="138"/>
    </row>
    <row r="67" ht="11.25">
      <c r="F67" s="138"/>
    </row>
    <row r="68" ht="11.25">
      <c r="F68" s="138"/>
    </row>
    <row r="71" ht="11.25">
      <c r="F71" s="146"/>
    </row>
  </sheetData>
  <sheetProtection/>
  <mergeCells count="62">
    <mergeCell ref="L9:L10"/>
    <mergeCell ref="B19:L19"/>
    <mergeCell ref="L20:L21"/>
    <mergeCell ref="K9:K10"/>
    <mergeCell ref="K20:K21"/>
    <mergeCell ref="I20:I21"/>
    <mergeCell ref="E39:F39"/>
    <mergeCell ref="K37:L37"/>
    <mergeCell ref="I37:J37"/>
    <mergeCell ref="A38:L38"/>
    <mergeCell ref="A37:B37"/>
    <mergeCell ref="G37:H37"/>
    <mergeCell ref="B20:B21"/>
    <mergeCell ref="E20:E21"/>
    <mergeCell ref="G20:G21"/>
    <mergeCell ref="E36:F36"/>
    <mergeCell ref="C37:D37"/>
    <mergeCell ref="I36:J36"/>
    <mergeCell ref="A35:L35"/>
    <mergeCell ref="A30:L30"/>
    <mergeCell ref="C20:C21"/>
    <mergeCell ref="D20:D21"/>
    <mergeCell ref="A1:L1"/>
    <mergeCell ref="A2:L2"/>
    <mergeCell ref="A3:L3"/>
    <mergeCell ref="A4:L4"/>
    <mergeCell ref="J9:J10"/>
    <mergeCell ref="B9:B10"/>
    <mergeCell ref="D9:D10"/>
    <mergeCell ref="A6:L6"/>
    <mergeCell ref="B8:L8"/>
    <mergeCell ref="C9:C10"/>
    <mergeCell ref="G9:G10"/>
    <mergeCell ref="A8:A10"/>
    <mergeCell ref="A19:A21"/>
    <mergeCell ref="J20:J21"/>
    <mergeCell ref="F20:F21"/>
    <mergeCell ref="H9:H10"/>
    <mergeCell ref="I9:I10"/>
    <mergeCell ref="E9:E10"/>
    <mergeCell ref="F9:F10"/>
    <mergeCell ref="H20:H21"/>
    <mergeCell ref="I39:J39"/>
    <mergeCell ref="K39:L39"/>
    <mergeCell ref="F61:G61"/>
    <mergeCell ref="E47:F47"/>
    <mergeCell ref="E48:F48"/>
    <mergeCell ref="K36:L36"/>
    <mergeCell ref="E49:F49"/>
    <mergeCell ref="G36:H36"/>
    <mergeCell ref="E46:F46"/>
    <mergeCell ref="E37:F37"/>
    <mergeCell ref="C49:D49"/>
    <mergeCell ref="C48:D48"/>
    <mergeCell ref="C46:D46"/>
    <mergeCell ref="F57:G57"/>
    <mergeCell ref="F59:G59"/>
    <mergeCell ref="G39:H39"/>
    <mergeCell ref="C47:D47"/>
    <mergeCell ref="A40:L40"/>
    <mergeCell ref="A39:B39"/>
    <mergeCell ref="C39:D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3"/>
  <sheetViews>
    <sheetView showGridLines="0" zoomScalePageLayoutView="0" workbookViewId="0" topLeftCell="A19">
      <selection activeCell="A30" sqref="A30:E30"/>
    </sheetView>
  </sheetViews>
  <sheetFormatPr defaultColWidth="9.140625" defaultRowHeight="12.75"/>
  <cols>
    <col min="1" max="1" width="22.00390625" style="0" customWidth="1"/>
    <col min="2" max="2" width="14.8515625" style="0" customWidth="1"/>
    <col min="3" max="3" width="11.421875" style="0" customWidth="1"/>
    <col min="4" max="4" width="11.57421875" style="0" bestFit="1" customWidth="1"/>
    <col min="5" max="5" width="10.00390625" style="0" customWidth="1"/>
    <col min="6" max="6" width="11.8515625" style="0" customWidth="1"/>
    <col min="8" max="8" width="9.140625" style="41" customWidth="1"/>
    <col min="9" max="9" width="12.8515625" style="46" bestFit="1" customWidth="1"/>
    <col min="10" max="10" width="14.00390625" style="0" bestFit="1" customWidth="1"/>
  </cols>
  <sheetData>
    <row r="1" spans="1:7" ht="12.75">
      <c r="A1" s="504" t="s">
        <v>99</v>
      </c>
      <c r="B1" s="505"/>
      <c r="C1" s="505"/>
      <c r="D1" s="505"/>
      <c r="E1" s="505"/>
      <c r="F1" s="505"/>
      <c r="G1" s="506"/>
    </row>
    <row r="2" spans="1:7" ht="15.75">
      <c r="A2" s="558"/>
      <c r="B2" s="559"/>
      <c r="C2" s="559"/>
      <c r="D2" s="559"/>
      <c r="E2" s="559"/>
      <c r="F2" s="559"/>
      <c r="G2" s="560"/>
    </row>
    <row r="3" spans="1:7" ht="15.75">
      <c r="A3" s="504" t="s">
        <v>106</v>
      </c>
      <c r="B3" s="559"/>
      <c r="C3" s="559"/>
      <c r="D3" s="559"/>
      <c r="E3" s="559"/>
      <c r="F3" s="559"/>
      <c r="G3" s="560"/>
    </row>
    <row r="4" spans="1:7" ht="12.75">
      <c r="A4" s="504" t="s">
        <v>130</v>
      </c>
      <c r="B4" s="505"/>
      <c r="C4" s="505"/>
      <c r="D4" s="505"/>
      <c r="E4" s="505"/>
      <c r="F4" s="505"/>
      <c r="G4" s="506"/>
    </row>
    <row r="5" spans="1:7" ht="12.75">
      <c r="A5" s="504" t="s">
        <v>7</v>
      </c>
      <c r="B5" s="505"/>
      <c r="C5" s="505"/>
      <c r="D5" s="505"/>
      <c r="E5" s="505"/>
      <c r="F5" s="505"/>
      <c r="G5" s="506"/>
    </row>
    <row r="6" spans="1:7" ht="12.75">
      <c r="A6" s="507" t="s">
        <v>46</v>
      </c>
      <c r="B6" s="508"/>
      <c r="C6" s="508"/>
      <c r="D6" s="508"/>
      <c r="E6" s="508"/>
      <c r="F6" s="508"/>
      <c r="G6" s="509"/>
    </row>
    <row r="7" spans="1:7" ht="12.75">
      <c r="A7" s="504" t="s">
        <v>128</v>
      </c>
      <c r="B7" s="505"/>
      <c r="C7" s="505"/>
      <c r="D7" s="505"/>
      <c r="E7" s="505"/>
      <c r="F7" s="505"/>
      <c r="G7" s="506"/>
    </row>
    <row r="8" spans="1:7" ht="12.75">
      <c r="A8" s="504"/>
      <c r="B8" s="505"/>
      <c r="C8" s="505"/>
      <c r="D8" s="505"/>
      <c r="E8" s="505"/>
      <c r="F8" s="505"/>
      <c r="G8" s="506"/>
    </row>
    <row r="9" spans="1:7" ht="15.75">
      <c r="A9" s="4" t="s">
        <v>47</v>
      </c>
      <c r="B9" s="5"/>
      <c r="C9" s="5"/>
      <c r="D9" s="5"/>
      <c r="E9" s="5"/>
      <c r="F9" s="5"/>
      <c r="G9" s="92">
        <v>1</v>
      </c>
    </row>
    <row r="10" spans="1:10" s="6" customFormat="1" ht="25.5" customHeight="1">
      <c r="A10" s="11" t="s">
        <v>48</v>
      </c>
      <c r="B10" s="111" t="s">
        <v>132</v>
      </c>
      <c r="C10" s="70" t="s">
        <v>84</v>
      </c>
      <c r="D10" s="111" t="s">
        <v>126</v>
      </c>
      <c r="E10" s="70" t="s">
        <v>84</v>
      </c>
      <c r="F10" s="111" t="s">
        <v>119</v>
      </c>
      <c r="G10" s="3" t="s">
        <v>84</v>
      </c>
      <c r="H10" s="67"/>
      <c r="I10" s="68"/>
      <c r="J10" s="30"/>
    </row>
    <row r="11" spans="1:10" ht="12.75">
      <c r="A11" s="116" t="s">
        <v>49</v>
      </c>
      <c r="B11" s="89">
        <v>11462253.56</v>
      </c>
      <c r="C11" s="90">
        <f>B11/$B$14*100</f>
        <v>195.07854075159713</v>
      </c>
      <c r="D11" s="89">
        <v>8934560.33</v>
      </c>
      <c r="E11" s="89">
        <f>D11/$D$14*100</f>
        <v>127.86270352597488</v>
      </c>
      <c r="F11" s="89">
        <v>7473852.77</v>
      </c>
      <c r="G11" s="118">
        <f>F11/$F$14*100</f>
        <v>119.80068040849643</v>
      </c>
      <c r="H11" s="45"/>
      <c r="I11" s="69"/>
      <c r="J11" s="41"/>
    </row>
    <row r="12" spans="1:10" ht="12.75">
      <c r="A12" s="116" t="s">
        <v>50</v>
      </c>
      <c r="B12" s="90">
        <v>2783867.05</v>
      </c>
      <c r="C12" s="90">
        <f>B12/$B$14*100</f>
        <v>47.37922773368254</v>
      </c>
      <c r="D12" s="90">
        <v>2616977.32</v>
      </c>
      <c r="E12" s="90">
        <f>D12/$D$14*100</f>
        <v>37.4516241250072</v>
      </c>
      <c r="F12" s="90">
        <v>1855853.9</v>
      </c>
      <c r="G12" s="118">
        <f>F12/$F$14*100</f>
        <v>29.74805188178221</v>
      </c>
      <c r="H12" s="45"/>
      <c r="I12" s="69"/>
      <c r="J12" s="41"/>
    </row>
    <row r="13" spans="1:10" ht="12.75">
      <c r="A13" s="117" t="s">
        <v>51</v>
      </c>
      <c r="B13" s="91">
        <v>-8370408.44</v>
      </c>
      <c r="C13" s="91">
        <f>B13/$B$14*100</f>
        <v>-142.45776848527967</v>
      </c>
      <c r="D13" s="91">
        <v>-4563917.27</v>
      </c>
      <c r="E13" s="91">
        <f>D13/$D$14*100</f>
        <v>-65.31432765098208</v>
      </c>
      <c r="F13" s="91">
        <v>-3091133.78</v>
      </c>
      <c r="G13" s="119">
        <f>F13/$F$14*100</f>
        <v>-49.54873229027864</v>
      </c>
      <c r="H13" s="45"/>
      <c r="I13" s="69"/>
      <c r="J13" s="41"/>
    </row>
    <row r="14" spans="1:7" ht="12.75">
      <c r="A14" s="25" t="s">
        <v>92</v>
      </c>
      <c r="B14" s="74">
        <f aca="true" t="shared" si="0" ref="B14:G14">SUM(B11:B13)</f>
        <v>5875712.169999999</v>
      </c>
      <c r="C14" s="91">
        <f t="shared" si="0"/>
        <v>100</v>
      </c>
      <c r="D14" s="74">
        <f t="shared" si="0"/>
        <v>6987620.380000001</v>
      </c>
      <c r="E14" s="74">
        <f t="shared" si="0"/>
        <v>100</v>
      </c>
      <c r="F14" s="91">
        <f t="shared" si="0"/>
        <v>6238572.890000001</v>
      </c>
      <c r="G14" s="75">
        <f t="shared" si="0"/>
        <v>100</v>
      </c>
    </row>
    <row r="15" spans="1:10" ht="15.75">
      <c r="A15" s="562"/>
      <c r="B15" s="562"/>
      <c r="C15" s="562"/>
      <c r="D15" s="562"/>
      <c r="E15" s="562"/>
      <c r="F15" s="562"/>
      <c r="G15" s="562"/>
      <c r="J15" s="46"/>
    </row>
    <row r="16" spans="1:10" ht="15.75" customHeight="1">
      <c r="A16" s="563" t="s">
        <v>52</v>
      </c>
      <c r="B16" s="563"/>
      <c r="C16" s="563"/>
      <c r="D16" s="563"/>
      <c r="E16" s="563"/>
      <c r="F16" s="563"/>
      <c r="G16" s="563"/>
      <c r="J16" s="46"/>
    </row>
    <row r="17" spans="1:10" s="6" customFormat="1" ht="25.5" customHeight="1">
      <c r="A17" s="11" t="s">
        <v>48</v>
      </c>
      <c r="B17" s="123" t="s">
        <v>132</v>
      </c>
      <c r="C17" s="70" t="s">
        <v>84</v>
      </c>
      <c r="D17" s="123" t="s">
        <v>126</v>
      </c>
      <c r="E17" s="70" t="s">
        <v>84</v>
      </c>
      <c r="F17" s="123" t="s">
        <v>119</v>
      </c>
      <c r="G17" s="3" t="s">
        <v>84</v>
      </c>
      <c r="H17" s="30"/>
      <c r="I17" s="47"/>
      <c r="J17" s="47"/>
    </row>
    <row r="18" spans="1:7" ht="15.75">
      <c r="A18" s="1" t="s">
        <v>49</v>
      </c>
      <c r="B18" s="94" t="s">
        <v>0</v>
      </c>
      <c r="C18" s="14"/>
      <c r="D18" s="42" t="s">
        <v>0</v>
      </c>
      <c r="E18" s="42"/>
      <c r="F18" s="93" t="s">
        <v>0</v>
      </c>
      <c r="G18" s="15"/>
    </row>
    <row r="19" spans="1:7" ht="15.75">
      <c r="A19" s="1" t="s">
        <v>50</v>
      </c>
      <c r="B19" s="14"/>
      <c r="C19" s="14"/>
      <c r="D19" s="14"/>
      <c r="E19" s="14"/>
      <c r="F19" s="14"/>
      <c r="G19" s="15"/>
    </row>
    <row r="20" spans="1:7" ht="15.75">
      <c r="A20" s="16" t="s">
        <v>51</v>
      </c>
      <c r="B20" s="17"/>
      <c r="C20" s="17"/>
      <c r="D20" s="17"/>
      <c r="E20" s="17"/>
      <c r="F20" s="17"/>
      <c r="G20" s="18"/>
    </row>
    <row r="21" spans="1:7" ht="15.75">
      <c r="A21" s="25" t="s">
        <v>92</v>
      </c>
      <c r="B21" s="17"/>
      <c r="C21" s="17"/>
      <c r="D21" s="17"/>
      <c r="E21" s="17"/>
      <c r="F21" s="17"/>
      <c r="G21" s="18"/>
    </row>
    <row r="22" spans="1:7" ht="12.75">
      <c r="A22" s="496" t="s">
        <v>117</v>
      </c>
      <c r="B22" s="496"/>
      <c r="C22" s="496"/>
      <c r="D22" s="496"/>
      <c r="E22" s="496"/>
      <c r="F22" s="496"/>
      <c r="G22" s="496"/>
    </row>
    <row r="23" spans="1:7" ht="12" customHeight="1">
      <c r="A23" s="561"/>
      <c r="B23" s="561"/>
      <c r="C23" s="561"/>
      <c r="D23" s="561"/>
      <c r="E23" s="561"/>
      <c r="F23" s="561"/>
      <c r="G23" s="561"/>
    </row>
  </sheetData>
  <sheetProtection/>
  <mergeCells count="12">
    <mergeCell ref="A6:G6"/>
    <mergeCell ref="A7:G7"/>
    <mergeCell ref="A1:G1"/>
    <mergeCell ref="A2:G2"/>
    <mergeCell ref="A3:G3"/>
    <mergeCell ref="A4:G4"/>
    <mergeCell ref="A8:G8"/>
    <mergeCell ref="A23:G23"/>
    <mergeCell ref="A22:G22"/>
    <mergeCell ref="A15:G15"/>
    <mergeCell ref="A16:G16"/>
    <mergeCell ref="A5:G5"/>
  </mergeCells>
  <printOptions horizontalCentered="1"/>
  <pageMargins left="0.7874015748031497" right="0.7874015748031497" top="1.534251968503937" bottom="0.98425196850393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E30"/>
  <sheetViews>
    <sheetView showGridLines="0" zoomScalePageLayoutView="0" workbookViewId="0" topLeftCell="A1">
      <selection activeCell="A30" sqref="A30:E30"/>
    </sheetView>
  </sheetViews>
  <sheetFormatPr defaultColWidth="9.140625" defaultRowHeight="12.75"/>
  <cols>
    <col min="1" max="1" width="43.57421875" style="0" customWidth="1"/>
    <col min="2" max="4" width="14.57421875" style="0" customWidth="1"/>
    <col min="5" max="5" width="9.140625" style="41" customWidth="1"/>
  </cols>
  <sheetData>
    <row r="1" spans="1:4" ht="12.75">
      <c r="A1" s="504" t="s">
        <v>100</v>
      </c>
      <c r="B1" s="505"/>
      <c r="C1" s="505"/>
      <c r="D1" s="506"/>
    </row>
    <row r="2" spans="1:4" ht="12.75">
      <c r="A2" s="504"/>
      <c r="B2" s="505"/>
      <c r="C2" s="505"/>
      <c r="D2" s="506"/>
    </row>
    <row r="3" spans="1:4" ht="12.75">
      <c r="A3" s="504" t="s">
        <v>106</v>
      </c>
      <c r="B3" s="505"/>
      <c r="C3" s="505"/>
      <c r="D3" s="506"/>
    </row>
    <row r="4" spans="1:4" ht="12.75">
      <c r="A4" s="504" t="s">
        <v>402</v>
      </c>
      <c r="B4" s="505"/>
      <c r="C4" s="505"/>
      <c r="D4" s="506"/>
    </row>
    <row r="5" spans="1:4" ht="12.75">
      <c r="A5" s="504" t="s">
        <v>7</v>
      </c>
      <c r="B5" s="505"/>
      <c r="C5" s="505"/>
      <c r="D5" s="506"/>
    </row>
    <row r="6" spans="1:4" ht="12.75">
      <c r="A6" s="507" t="s">
        <v>53</v>
      </c>
      <c r="B6" s="508"/>
      <c r="C6" s="508"/>
      <c r="D6" s="509"/>
    </row>
    <row r="7" spans="1:4" ht="12.75">
      <c r="A7" s="504" t="s">
        <v>128</v>
      </c>
      <c r="B7" s="505"/>
      <c r="C7" s="505"/>
      <c r="D7" s="506"/>
    </row>
    <row r="8" spans="1:4" ht="12.75">
      <c r="A8" s="504"/>
      <c r="B8" s="505"/>
      <c r="C8" s="505"/>
      <c r="D8" s="506"/>
    </row>
    <row r="9" spans="1:4" ht="15.75">
      <c r="A9" s="26" t="s">
        <v>47</v>
      </c>
      <c r="B9" s="27"/>
      <c r="C9" s="27"/>
      <c r="D9" s="85">
        <v>1</v>
      </c>
    </row>
    <row r="10" spans="1:5" s="6" customFormat="1" ht="25.5" customHeight="1">
      <c r="A10" s="11" t="s">
        <v>83</v>
      </c>
      <c r="B10" s="11">
        <v>2016</v>
      </c>
      <c r="C10" s="11">
        <v>2015</v>
      </c>
      <c r="D10" s="2">
        <v>2014</v>
      </c>
      <c r="E10" s="30"/>
    </row>
    <row r="11" spans="1:4" ht="12.75" customHeight="1">
      <c r="A11" s="28" t="s">
        <v>88</v>
      </c>
      <c r="B11" s="564" t="s">
        <v>0</v>
      </c>
      <c r="C11" s="564" t="s">
        <v>0</v>
      </c>
      <c r="D11" s="569" t="s">
        <v>0</v>
      </c>
    </row>
    <row r="12" spans="1:4" ht="12.75" customHeight="1">
      <c r="A12" s="28" t="s">
        <v>54</v>
      </c>
      <c r="B12" s="565"/>
      <c r="C12" s="565"/>
      <c r="D12" s="570"/>
    </row>
    <row r="13" spans="1:4" ht="12.75" customHeight="1">
      <c r="A13" s="28" t="s">
        <v>89</v>
      </c>
      <c r="B13" s="565"/>
      <c r="C13" s="565"/>
      <c r="D13" s="570"/>
    </row>
    <row r="14" spans="1:4" ht="12.75" customHeight="1">
      <c r="A14" s="29" t="s">
        <v>90</v>
      </c>
      <c r="B14" s="566"/>
      <c r="C14" s="566"/>
      <c r="D14" s="571"/>
    </row>
    <row r="15" spans="1:4" ht="15.75">
      <c r="A15" s="29" t="s">
        <v>78</v>
      </c>
      <c r="B15" s="22"/>
      <c r="C15" s="22"/>
      <c r="D15" s="23"/>
    </row>
    <row r="16" spans="1:4" ht="15.75">
      <c r="A16" s="572"/>
      <c r="B16" s="572"/>
      <c r="C16" s="572"/>
      <c r="D16" s="572"/>
    </row>
    <row r="17" spans="1:5" s="6" customFormat="1" ht="12.75">
      <c r="A17" s="526" t="s">
        <v>55</v>
      </c>
      <c r="B17" s="482">
        <v>2016</v>
      </c>
      <c r="C17" s="482">
        <v>2015</v>
      </c>
      <c r="D17" s="525">
        <v>2014</v>
      </c>
      <c r="E17" s="30"/>
    </row>
    <row r="18" spans="1:5" s="6" customFormat="1" ht="12.75">
      <c r="A18" s="528"/>
      <c r="B18" s="484"/>
      <c r="C18" s="484"/>
      <c r="D18" s="527"/>
      <c r="E18" s="30"/>
    </row>
    <row r="19" spans="1:4" ht="22.5">
      <c r="A19" s="28" t="s">
        <v>2</v>
      </c>
      <c r="B19" s="20"/>
      <c r="C19" s="20"/>
      <c r="D19" s="21"/>
    </row>
    <row r="20" spans="1:4" ht="15.75">
      <c r="A20" s="28" t="s">
        <v>56</v>
      </c>
      <c r="B20" s="20"/>
      <c r="C20" s="20"/>
      <c r="D20" s="21"/>
    </row>
    <row r="21" spans="1:4" ht="15.75">
      <c r="A21" s="28" t="s">
        <v>57</v>
      </c>
      <c r="B21" s="20"/>
      <c r="C21" s="20"/>
      <c r="D21" s="21"/>
    </row>
    <row r="22" spans="1:4" ht="15.75">
      <c r="A22" s="28" t="s">
        <v>58</v>
      </c>
      <c r="B22" s="20"/>
      <c r="C22" s="20"/>
      <c r="D22" s="21"/>
    </row>
    <row r="23" spans="1:4" ht="15.75">
      <c r="A23" s="28" t="s">
        <v>3</v>
      </c>
      <c r="B23" s="20"/>
      <c r="C23" s="20"/>
      <c r="D23" s="21"/>
    </row>
    <row r="24" spans="1:4" ht="15.75">
      <c r="A24" s="28" t="s">
        <v>59</v>
      </c>
      <c r="B24" s="20"/>
      <c r="C24" s="20"/>
      <c r="D24" s="21"/>
    </row>
    <row r="25" spans="1:4" ht="15.75">
      <c r="A25" s="28" t="s">
        <v>60</v>
      </c>
      <c r="B25" s="20"/>
      <c r="C25" s="20"/>
      <c r="D25" s="21"/>
    </row>
    <row r="26" spans="1:4" ht="15.75">
      <c r="A26" s="29" t="s">
        <v>61</v>
      </c>
      <c r="B26" s="22"/>
      <c r="C26" s="22"/>
      <c r="D26" s="23"/>
    </row>
    <row r="27" spans="1:4" ht="15.75">
      <c r="A27" s="29" t="s">
        <v>78</v>
      </c>
      <c r="B27" s="22"/>
      <c r="C27" s="22"/>
      <c r="D27" s="23"/>
    </row>
    <row r="28" spans="1:4" ht="15.75">
      <c r="A28" s="567" t="s">
        <v>79</v>
      </c>
      <c r="B28" s="22" t="s">
        <v>80</v>
      </c>
      <c r="C28" s="22" t="s">
        <v>81</v>
      </c>
      <c r="D28" s="23" t="s">
        <v>82</v>
      </c>
    </row>
    <row r="29" spans="1:4" ht="15.75">
      <c r="A29" s="568"/>
      <c r="B29" s="22"/>
      <c r="C29" s="22"/>
      <c r="D29" s="23"/>
    </row>
    <row r="30" spans="1:4" ht="12.75">
      <c r="A30" s="496" t="s">
        <v>112</v>
      </c>
      <c r="B30" s="496"/>
      <c r="C30" s="496"/>
      <c r="D30" s="496"/>
    </row>
  </sheetData>
  <sheetProtection/>
  <mergeCells count="18">
    <mergeCell ref="A28:A29"/>
    <mergeCell ref="D11:D14"/>
    <mergeCell ref="A16:D16"/>
    <mergeCell ref="A17:A18"/>
    <mergeCell ref="A1:D1"/>
    <mergeCell ref="A2:D2"/>
    <mergeCell ref="A3:D3"/>
    <mergeCell ref="A4:D4"/>
    <mergeCell ref="A30:D30"/>
    <mergeCell ref="A5:D5"/>
    <mergeCell ref="A6:D6"/>
    <mergeCell ref="A7:D7"/>
    <mergeCell ref="A8:D8"/>
    <mergeCell ref="B17:B18"/>
    <mergeCell ref="C17:C18"/>
    <mergeCell ref="D17:D18"/>
    <mergeCell ref="B11:B14"/>
    <mergeCell ref="C11:C14"/>
  </mergeCells>
  <printOptions/>
  <pageMargins left="0.787401575" right="0.787401575" top="1.534251969" bottom="0.984251969" header="0.5" footer="0.5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G237"/>
  <sheetViews>
    <sheetView zoomScalePageLayoutView="0" workbookViewId="0" topLeftCell="A1">
      <selection activeCell="A207" sqref="A207:IV236"/>
    </sheetView>
  </sheetViews>
  <sheetFormatPr defaultColWidth="9.140625" defaultRowHeight="12.75"/>
  <cols>
    <col min="1" max="3" width="12.8515625" style="0" customWidth="1"/>
    <col min="4" max="4" width="20.57421875" style="0" customWidth="1"/>
    <col min="5" max="5" width="14.8515625" style="0" customWidth="1"/>
    <col min="6" max="6" width="15.00390625" style="0" customWidth="1"/>
    <col min="7" max="7" width="15.140625" style="0" customWidth="1"/>
  </cols>
  <sheetData>
    <row r="1" spans="1:7" ht="12.75">
      <c r="A1" s="647" t="s">
        <v>167</v>
      </c>
      <c r="B1" s="647"/>
      <c r="C1" s="647"/>
      <c r="D1" s="647"/>
      <c r="E1" s="647"/>
      <c r="F1" s="647"/>
      <c r="G1" s="647"/>
    </row>
    <row r="2" spans="1:7" ht="12.75">
      <c r="A2" s="648"/>
      <c r="B2" s="648"/>
      <c r="C2" s="648"/>
      <c r="D2" s="648"/>
      <c r="E2" s="648"/>
      <c r="F2" s="648"/>
      <c r="G2" s="179"/>
    </row>
    <row r="3" spans="1:7" ht="12.75">
      <c r="A3" s="510" t="s">
        <v>166</v>
      </c>
      <c r="B3" s="511"/>
      <c r="C3" s="511"/>
      <c r="D3" s="511"/>
      <c r="E3" s="511"/>
      <c r="F3" s="511"/>
      <c r="G3" s="511"/>
    </row>
    <row r="4" spans="1:7" ht="12.75">
      <c r="A4" s="510" t="s">
        <v>168</v>
      </c>
      <c r="B4" s="511"/>
      <c r="C4" s="511"/>
      <c r="D4" s="511"/>
      <c r="E4" s="511"/>
      <c r="F4" s="511"/>
      <c r="G4" s="511"/>
    </row>
    <row r="5" spans="1:7" ht="12.75">
      <c r="A5" s="510" t="s">
        <v>7</v>
      </c>
      <c r="B5" s="511"/>
      <c r="C5" s="511"/>
      <c r="D5" s="511"/>
      <c r="E5" s="511"/>
      <c r="F5" s="511"/>
      <c r="G5" s="511"/>
    </row>
    <row r="6" spans="1:7" ht="12.75">
      <c r="A6" s="649" t="s">
        <v>169</v>
      </c>
      <c r="B6" s="650"/>
      <c r="C6" s="650"/>
      <c r="D6" s="650"/>
      <c r="E6" s="650"/>
      <c r="F6" s="650"/>
      <c r="G6" s="650"/>
    </row>
    <row r="7" spans="1:7" ht="12.75">
      <c r="A7" s="510" t="s">
        <v>128</v>
      </c>
      <c r="B7" s="511"/>
      <c r="C7" s="511"/>
      <c r="D7" s="511"/>
      <c r="E7" s="511"/>
      <c r="F7" s="511"/>
      <c r="G7" s="511"/>
    </row>
    <row r="8" spans="1:7" ht="12.75">
      <c r="A8" s="642"/>
      <c r="B8" s="642"/>
      <c r="C8" s="642"/>
      <c r="D8" s="642"/>
      <c r="E8" s="642"/>
      <c r="F8" s="642"/>
      <c r="G8" s="642"/>
    </row>
    <row r="9" spans="1:7" ht="15.75">
      <c r="A9" s="643" t="s">
        <v>170</v>
      </c>
      <c r="B9" s="643"/>
      <c r="C9" s="643"/>
      <c r="D9" s="644"/>
      <c r="E9" s="180"/>
      <c r="F9" s="180"/>
      <c r="G9" s="181">
        <v>1</v>
      </c>
    </row>
    <row r="10" spans="1:7" ht="12.75">
      <c r="A10" s="645" t="s">
        <v>171</v>
      </c>
      <c r="B10" s="646"/>
      <c r="C10" s="646"/>
      <c r="D10" s="646"/>
      <c r="E10" s="646"/>
      <c r="F10" s="646"/>
      <c r="G10" s="646"/>
    </row>
    <row r="11" spans="1:7" ht="12.75">
      <c r="A11" s="629" t="s">
        <v>172</v>
      </c>
      <c r="B11" s="629"/>
      <c r="C11" s="629"/>
      <c r="D11" s="629"/>
      <c r="E11" s="629"/>
      <c r="F11" s="629"/>
      <c r="G11" s="629"/>
    </row>
    <row r="12" spans="1:7" ht="12.75">
      <c r="A12" s="630" t="s">
        <v>173</v>
      </c>
      <c r="B12" s="631"/>
      <c r="C12" s="631"/>
      <c r="D12" s="632"/>
      <c r="E12" s="633" t="s">
        <v>108</v>
      </c>
      <c r="F12" s="633" t="s">
        <v>109</v>
      </c>
      <c r="G12" s="591" t="s">
        <v>113</v>
      </c>
    </row>
    <row r="13" spans="1:7" ht="12.75">
      <c r="A13" s="621"/>
      <c r="B13" s="621"/>
      <c r="C13" s="621"/>
      <c r="D13" s="622"/>
      <c r="E13" s="600"/>
      <c r="F13" s="600"/>
      <c r="G13" s="602"/>
    </row>
    <row r="14" spans="1:7" ht="12.75">
      <c r="A14" s="625" t="s">
        <v>174</v>
      </c>
      <c r="B14" s="625"/>
      <c r="C14" s="625"/>
      <c r="D14" s="626"/>
      <c r="E14" s="184">
        <f>+E15+E24+E34+E38+E39+E40</f>
        <v>0</v>
      </c>
      <c r="F14" s="184">
        <f>+F15+F24+F34+F38+F39+F40</f>
        <v>0</v>
      </c>
      <c r="G14" s="184">
        <f>+G15+G24+G34+G38+G39+G40</f>
        <v>0</v>
      </c>
    </row>
    <row r="15" spans="1:7" ht="12.75">
      <c r="A15" s="616" t="s">
        <v>175</v>
      </c>
      <c r="B15" s="616"/>
      <c r="C15" s="616"/>
      <c r="D15" s="617"/>
      <c r="E15" s="184">
        <f>+E16+E20</f>
        <v>0</v>
      </c>
      <c r="F15" s="184">
        <f>+F16+F20</f>
        <v>0</v>
      </c>
      <c r="G15" s="184">
        <f>+G16+G20</f>
        <v>0</v>
      </c>
    </row>
    <row r="16" spans="1:7" ht="12.75">
      <c r="A16" s="623" t="s">
        <v>176</v>
      </c>
      <c r="B16" s="623"/>
      <c r="C16" s="623"/>
      <c r="D16" s="624"/>
      <c r="E16" s="184">
        <f>+E17+E18+E19</f>
        <v>0</v>
      </c>
      <c r="F16" s="184">
        <f>+F17+F18+F19</f>
        <v>0</v>
      </c>
      <c r="G16" s="184">
        <f>+G17+G18+G19</f>
        <v>0</v>
      </c>
    </row>
    <row r="17" spans="1:7" ht="12.75">
      <c r="A17" s="627" t="s">
        <v>177</v>
      </c>
      <c r="B17" s="627"/>
      <c r="C17" s="627"/>
      <c r="D17" s="628"/>
      <c r="E17" s="184"/>
      <c r="F17" s="184"/>
      <c r="G17" s="184"/>
    </row>
    <row r="18" spans="1:7" ht="12.75">
      <c r="A18" s="627" t="s">
        <v>178</v>
      </c>
      <c r="B18" s="627"/>
      <c r="C18" s="627"/>
      <c r="D18" s="628"/>
      <c r="E18" s="184"/>
      <c r="F18" s="184"/>
      <c r="G18" s="184"/>
    </row>
    <row r="19" spans="1:7" ht="12.75">
      <c r="A19" s="627" t="s">
        <v>179</v>
      </c>
      <c r="B19" s="627"/>
      <c r="C19" s="627"/>
      <c r="D19" s="628"/>
      <c r="E19" s="184"/>
      <c r="F19" s="184"/>
      <c r="G19" s="184"/>
    </row>
    <row r="20" spans="1:7" ht="12.75">
      <c r="A20" s="623" t="s">
        <v>180</v>
      </c>
      <c r="B20" s="623"/>
      <c r="C20" s="623"/>
      <c r="D20" s="624"/>
      <c r="E20" s="184">
        <f>+E21+E22+E23</f>
        <v>0</v>
      </c>
      <c r="F20" s="184">
        <f>+F21+F22+F23</f>
        <v>0</v>
      </c>
      <c r="G20" s="184">
        <f>+G21+G22+G23</f>
        <v>0</v>
      </c>
    </row>
    <row r="21" spans="1:7" ht="12.75">
      <c r="A21" s="627" t="s">
        <v>177</v>
      </c>
      <c r="B21" s="627"/>
      <c r="C21" s="627"/>
      <c r="D21" s="628"/>
      <c r="E21" s="185"/>
      <c r="F21" s="185"/>
      <c r="G21" s="185"/>
    </row>
    <row r="22" spans="1:7" ht="12.75">
      <c r="A22" s="627" t="s">
        <v>178</v>
      </c>
      <c r="B22" s="627"/>
      <c r="C22" s="627"/>
      <c r="D22" s="628"/>
      <c r="E22" s="186"/>
      <c r="F22" s="186"/>
      <c r="G22" s="186"/>
    </row>
    <row r="23" spans="1:7" ht="12.75">
      <c r="A23" s="627" t="s">
        <v>179</v>
      </c>
      <c r="B23" s="627"/>
      <c r="C23" s="627"/>
      <c r="D23" s="628"/>
      <c r="E23" s="186"/>
      <c r="F23" s="186"/>
      <c r="G23" s="186"/>
    </row>
    <row r="24" spans="1:7" ht="12.75">
      <c r="A24" s="616" t="s">
        <v>181</v>
      </c>
      <c r="B24" s="616"/>
      <c r="C24" s="616"/>
      <c r="D24" s="617"/>
      <c r="E24" s="187">
        <f>+E25+E29+E33</f>
        <v>0</v>
      </c>
      <c r="F24" s="187">
        <f>+F25+F29+F33</f>
        <v>0</v>
      </c>
      <c r="G24" s="187">
        <f>+G25+G29+G33</f>
        <v>0</v>
      </c>
    </row>
    <row r="25" spans="1:7" ht="12.75">
      <c r="A25" s="623" t="s">
        <v>176</v>
      </c>
      <c r="B25" s="623"/>
      <c r="C25" s="623"/>
      <c r="D25" s="624"/>
      <c r="E25" s="184">
        <f>+E26+E27+E28</f>
        <v>0</v>
      </c>
      <c r="F25" s="184">
        <f>+F26+F27+F28</f>
        <v>0</v>
      </c>
      <c r="G25" s="184">
        <f>+G26+G27+G28</f>
        <v>0</v>
      </c>
    </row>
    <row r="26" spans="1:7" ht="12.75">
      <c r="A26" s="627" t="s">
        <v>177</v>
      </c>
      <c r="B26" s="627"/>
      <c r="C26" s="627"/>
      <c r="D26" s="628"/>
      <c r="E26" s="186"/>
      <c r="F26" s="186"/>
      <c r="G26" s="186"/>
    </row>
    <row r="27" spans="1:7" ht="12.75">
      <c r="A27" s="627" t="s">
        <v>178</v>
      </c>
      <c r="B27" s="627"/>
      <c r="C27" s="627"/>
      <c r="D27" s="628"/>
      <c r="E27" s="187"/>
      <c r="F27" s="187"/>
      <c r="G27" s="187"/>
    </row>
    <row r="28" spans="1:7" ht="12.75">
      <c r="A28" s="627" t="s">
        <v>179</v>
      </c>
      <c r="B28" s="627"/>
      <c r="C28" s="627"/>
      <c r="D28" s="628"/>
      <c r="E28" s="186"/>
      <c r="F28" s="186"/>
      <c r="G28" s="186"/>
    </row>
    <row r="29" spans="1:7" ht="12.75">
      <c r="A29" s="623" t="s">
        <v>180</v>
      </c>
      <c r="B29" s="623"/>
      <c r="C29" s="623"/>
      <c r="D29" s="624"/>
      <c r="E29" s="184">
        <f>+E30+E31+E32</f>
        <v>0</v>
      </c>
      <c r="F29" s="184">
        <f>+F30+F31+F32</f>
        <v>0</v>
      </c>
      <c r="G29" s="184">
        <f>+G30+G31+G32</f>
        <v>0</v>
      </c>
    </row>
    <row r="30" spans="1:7" ht="12.75">
      <c r="A30" s="627" t="s">
        <v>177</v>
      </c>
      <c r="B30" s="627"/>
      <c r="C30" s="627"/>
      <c r="D30" s="628"/>
      <c r="E30" s="186"/>
      <c r="F30" s="186"/>
      <c r="G30" s="186"/>
    </row>
    <row r="31" spans="1:7" ht="12.75">
      <c r="A31" s="627" t="s">
        <v>178</v>
      </c>
      <c r="B31" s="627"/>
      <c r="C31" s="627"/>
      <c r="D31" s="628"/>
      <c r="E31" s="186"/>
      <c r="F31" s="186"/>
      <c r="G31" s="186"/>
    </row>
    <row r="32" spans="1:7" ht="12.75">
      <c r="A32" s="627" t="s">
        <v>179</v>
      </c>
      <c r="B32" s="627"/>
      <c r="C32" s="627"/>
      <c r="D32" s="628"/>
      <c r="E32" s="186"/>
      <c r="F32" s="186"/>
      <c r="G32" s="186"/>
    </row>
    <row r="33" spans="1:7" ht="12.75">
      <c r="A33" s="623" t="s">
        <v>182</v>
      </c>
      <c r="B33" s="623"/>
      <c r="C33" s="623"/>
      <c r="D33" s="624"/>
      <c r="E33" s="186"/>
      <c r="F33" s="186"/>
      <c r="G33" s="186"/>
    </row>
    <row r="34" spans="1:7" ht="12.75">
      <c r="A34" s="616" t="s">
        <v>183</v>
      </c>
      <c r="B34" s="616"/>
      <c r="C34" s="616"/>
      <c r="D34" s="617"/>
      <c r="E34" s="186">
        <f>+E35+E36+E37</f>
        <v>0</v>
      </c>
      <c r="F34" s="186">
        <f>+F35+F36+F37</f>
        <v>0</v>
      </c>
      <c r="G34" s="186">
        <f>+G35+G36+G37</f>
        <v>0</v>
      </c>
    </row>
    <row r="35" spans="1:7" ht="12.75">
      <c r="A35" s="623" t="s">
        <v>184</v>
      </c>
      <c r="B35" s="623"/>
      <c r="C35" s="623"/>
      <c r="D35" s="624"/>
      <c r="E35" s="186"/>
      <c r="F35" s="186"/>
      <c r="G35" s="186"/>
    </row>
    <row r="36" spans="1:7" ht="12.75">
      <c r="A36" s="623" t="s">
        <v>185</v>
      </c>
      <c r="B36" s="623"/>
      <c r="C36" s="623"/>
      <c r="D36" s="624"/>
      <c r="E36" s="186"/>
      <c r="F36" s="186"/>
      <c r="G36" s="186"/>
    </row>
    <row r="37" spans="1:7" ht="12.75">
      <c r="A37" s="623" t="s">
        <v>186</v>
      </c>
      <c r="B37" s="623"/>
      <c r="C37" s="623"/>
      <c r="D37" s="624"/>
      <c r="E37" s="186"/>
      <c r="F37" s="186"/>
      <c r="G37" s="186"/>
    </row>
    <row r="38" spans="1:7" ht="12.75">
      <c r="A38" s="616" t="s">
        <v>187</v>
      </c>
      <c r="B38" s="616"/>
      <c r="C38" s="616"/>
      <c r="D38" s="617"/>
      <c r="E38" s="186"/>
      <c r="F38" s="186"/>
      <c r="G38" s="186"/>
    </row>
    <row r="39" spans="1:7" ht="12.75">
      <c r="A39" s="616" t="s">
        <v>188</v>
      </c>
      <c r="B39" s="616"/>
      <c r="C39" s="616"/>
      <c r="D39" s="617"/>
      <c r="E39" s="186"/>
      <c r="F39" s="186"/>
      <c r="G39" s="186"/>
    </row>
    <row r="40" spans="1:7" ht="12.75">
      <c r="A40" s="616" t="s">
        <v>189</v>
      </c>
      <c r="B40" s="616"/>
      <c r="C40" s="616"/>
      <c r="D40" s="617"/>
      <c r="E40" s="186">
        <f>+E41+E42</f>
        <v>0</v>
      </c>
      <c r="F40" s="186">
        <f>+F41+F42</f>
        <v>0</v>
      </c>
      <c r="G40" s="186">
        <f>+G41+G42</f>
        <v>0</v>
      </c>
    </row>
    <row r="41" spans="1:7" ht="12.75">
      <c r="A41" s="623" t="s">
        <v>190</v>
      </c>
      <c r="B41" s="623"/>
      <c r="C41" s="623"/>
      <c r="D41" s="624"/>
      <c r="E41" s="187"/>
      <c r="F41" s="187"/>
      <c r="G41" s="187"/>
    </row>
    <row r="42" spans="1:7" ht="12.75">
      <c r="A42" s="623" t="s">
        <v>191</v>
      </c>
      <c r="B42" s="623"/>
      <c r="C42" s="623"/>
      <c r="D42" s="624"/>
      <c r="E42" s="186"/>
      <c r="F42" s="186"/>
      <c r="G42" s="186"/>
    </row>
    <row r="43" spans="1:7" ht="12.75">
      <c r="A43" s="625" t="s">
        <v>192</v>
      </c>
      <c r="B43" s="625"/>
      <c r="C43" s="625"/>
      <c r="D43" s="626"/>
      <c r="E43" s="186">
        <f>+E44+E45+E46</f>
        <v>0</v>
      </c>
      <c r="F43" s="186">
        <f>+F44+F45+F46</f>
        <v>0</v>
      </c>
      <c r="G43" s="186">
        <f>+G44+G45+G46</f>
        <v>0</v>
      </c>
    </row>
    <row r="44" spans="1:7" ht="12.75">
      <c r="A44" s="616" t="s">
        <v>193</v>
      </c>
      <c r="B44" s="616"/>
      <c r="C44" s="616"/>
      <c r="D44" s="617"/>
      <c r="E44" s="186"/>
      <c r="F44" s="186"/>
      <c r="G44" s="186"/>
    </row>
    <row r="45" spans="1:7" ht="12.75">
      <c r="A45" s="616" t="s">
        <v>194</v>
      </c>
      <c r="B45" s="616"/>
      <c r="C45" s="616"/>
      <c r="D45" s="617"/>
      <c r="E45" s="186"/>
      <c r="F45" s="186"/>
      <c r="G45" s="186"/>
    </row>
    <row r="46" spans="1:7" ht="12.75">
      <c r="A46" s="616" t="s">
        <v>195</v>
      </c>
      <c r="B46" s="616"/>
      <c r="C46" s="616"/>
      <c r="D46" s="617"/>
      <c r="E46" s="186"/>
      <c r="F46" s="186"/>
      <c r="G46" s="186"/>
    </row>
    <row r="47" spans="1:7" ht="12.75">
      <c r="A47" s="610" t="s">
        <v>196</v>
      </c>
      <c r="B47" s="610"/>
      <c r="C47" s="610"/>
      <c r="D47" s="611"/>
      <c r="E47" s="188">
        <f>+E14+E43</f>
        <v>0</v>
      </c>
      <c r="F47" s="188">
        <f>+F14+F43</f>
        <v>0</v>
      </c>
      <c r="G47" s="188">
        <f>+G14+G43</f>
        <v>0</v>
      </c>
    </row>
    <row r="48" spans="1:7" ht="15.75">
      <c r="A48" s="189"/>
      <c r="B48" s="189"/>
      <c r="C48" s="189"/>
      <c r="D48" s="189"/>
      <c r="E48" s="190"/>
      <c r="F48" s="190"/>
      <c r="G48" s="190"/>
    </row>
    <row r="49" spans="1:7" ht="12.75">
      <c r="A49" s="618" t="s">
        <v>197</v>
      </c>
      <c r="B49" s="619"/>
      <c r="C49" s="619"/>
      <c r="D49" s="620"/>
      <c r="E49" s="599" t="s">
        <v>108</v>
      </c>
      <c r="F49" s="599" t="s">
        <v>109</v>
      </c>
      <c r="G49" s="601" t="s">
        <v>113</v>
      </c>
    </row>
    <row r="50" spans="1:7" ht="12.75">
      <c r="A50" s="621"/>
      <c r="B50" s="621"/>
      <c r="C50" s="621"/>
      <c r="D50" s="622"/>
      <c r="E50" s="600"/>
      <c r="F50" s="600"/>
      <c r="G50" s="602"/>
    </row>
    <row r="51" spans="1:7" ht="12.75">
      <c r="A51" s="612" t="s">
        <v>198</v>
      </c>
      <c r="B51" s="612"/>
      <c r="C51" s="612"/>
      <c r="D51" s="613"/>
      <c r="E51" s="184">
        <f>+E52+E53</f>
        <v>0</v>
      </c>
      <c r="F51" s="184">
        <f>+F52+F53</f>
        <v>0</v>
      </c>
      <c r="G51" s="184">
        <f>+G52+G53</f>
        <v>0</v>
      </c>
    </row>
    <row r="52" spans="1:7" ht="12.75">
      <c r="A52" s="606" t="s">
        <v>199</v>
      </c>
      <c r="B52" s="606"/>
      <c r="C52" s="606"/>
      <c r="D52" s="607"/>
      <c r="E52" s="184"/>
      <c r="F52" s="184"/>
      <c r="G52" s="184"/>
    </row>
    <row r="53" spans="1:7" ht="12.75">
      <c r="A53" s="606" t="s">
        <v>200</v>
      </c>
      <c r="B53" s="606"/>
      <c r="C53" s="606"/>
      <c r="D53" s="607"/>
      <c r="E53" s="184"/>
      <c r="F53" s="184"/>
      <c r="G53" s="184"/>
    </row>
    <row r="54" spans="1:7" ht="12.75">
      <c r="A54" s="614" t="s">
        <v>201</v>
      </c>
      <c r="B54" s="614"/>
      <c r="C54" s="614"/>
      <c r="D54" s="615"/>
      <c r="E54" s="184">
        <f>+E55+E59+E63</f>
        <v>0</v>
      </c>
      <c r="F54" s="184">
        <f>+F55+F59+F63</f>
        <v>0</v>
      </c>
      <c r="G54" s="184">
        <f>+G55+G59+G63</f>
        <v>0</v>
      </c>
    </row>
    <row r="55" spans="1:7" ht="12.75">
      <c r="A55" s="606" t="s">
        <v>202</v>
      </c>
      <c r="B55" s="606"/>
      <c r="C55" s="606"/>
      <c r="D55" s="607"/>
      <c r="E55" s="184">
        <f>+E56+E57+E58</f>
        <v>0</v>
      </c>
      <c r="F55" s="184">
        <f>+F56+F57+F58</f>
        <v>0</v>
      </c>
      <c r="G55" s="184">
        <f>+G56+G57+G58</f>
        <v>0</v>
      </c>
    </row>
    <row r="56" spans="1:7" ht="12.75">
      <c r="A56" s="604" t="s">
        <v>203</v>
      </c>
      <c r="B56" s="604"/>
      <c r="C56" s="604"/>
      <c r="D56" s="605"/>
      <c r="E56" s="184"/>
      <c r="F56" s="184"/>
      <c r="G56" s="184"/>
    </row>
    <row r="57" spans="1:7" ht="12.75">
      <c r="A57" s="604" t="s">
        <v>204</v>
      </c>
      <c r="B57" s="604"/>
      <c r="C57" s="604"/>
      <c r="D57" s="605"/>
      <c r="E57" s="184"/>
      <c r="F57" s="184"/>
      <c r="G57" s="184"/>
    </row>
    <row r="58" spans="1:7" ht="12.75">
      <c r="A58" s="604" t="s">
        <v>205</v>
      </c>
      <c r="B58" s="604"/>
      <c r="C58" s="604"/>
      <c r="D58" s="605"/>
      <c r="E58" s="184"/>
      <c r="F58" s="184"/>
      <c r="G58" s="184"/>
    </row>
    <row r="59" spans="1:7" ht="12.75">
      <c r="A59" s="606" t="s">
        <v>206</v>
      </c>
      <c r="B59" s="606"/>
      <c r="C59" s="606"/>
      <c r="D59" s="607"/>
      <c r="E59" s="184">
        <f>+E60+E61+E62</f>
        <v>0</v>
      </c>
      <c r="F59" s="184">
        <f>+F60+F61+F62</f>
        <v>0</v>
      </c>
      <c r="G59" s="184">
        <f>+G60+G61+G62</f>
        <v>0</v>
      </c>
    </row>
    <row r="60" spans="1:7" ht="12.75">
      <c r="A60" s="604" t="s">
        <v>207</v>
      </c>
      <c r="B60" s="604"/>
      <c r="C60" s="604"/>
      <c r="D60" s="605"/>
      <c r="E60" s="191"/>
      <c r="F60" s="191"/>
      <c r="G60" s="191"/>
    </row>
    <row r="61" spans="1:7" ht="12.75">
      <c r="A61" s="604" t="s">
        <v>204</v>
      </c>
      <c r="B61" s="604"/>
      <c r="C61" s="604"/>
      <c r="D61" s="605"/>
      <c r="E61" s="191"/>
      <c r="F61" s="191"/>
      <c r="G61" s="191"/>
    </row>
    <row r="62" spans="1:7" ht="12.75">
      <c r="A62" s="604" t="s">
        <v>205</v>
      </c>
      <c r="B62" s="604"/>
      <c r="C62" s="604"/>
      <c r="D62" s="605"/>
      <c r="E62" s="191"/>
      <c r="F62" s="191"/>
      <c r="G62" s="191"/>
    </row>
    <row r="63" spans="1:7" ht="12.75">
      <c r="A63" s="606" t="s">
        <v>208</v>
      </c>
      <c r="B63" s="606"/>
      <c r="C63" s="606"/>
      <c r="D63" s="607"/>
      <c r="E63" s="191">
        <f>+E64+E65</f>
        <v>0</v>
      </c>
      <c r="F63" s="191">
        <f>+F64+F65</f>
        <v>0</v>
      </c>
      <c r="G63" s="191">
        <f>+G64+G65</f>
        <v>0</v>
      </c>
    </row>
    <row r="64" spans="1:7" ht="12.75">
      <c r="A64" s="604" t="s">
        <v>209</v>
      </c>
      <c r="B64" s="604"/>
      <c r="C64" s="604"/>
      <c r="D64" s="605"/>
      <c r="E64" s="192"/>
      <c r="F64" s="192"/>
      <c r="G64" s="192"/>
    </row>
    <row r="65" spans="1:7" ht="12.75">
      <c r="A65" s="608" t="s">
        <v>210</v>
      </c>
      <c r="B65" s="608"/>
      <c r="C65" s="608"/>
      <c r="D65" s="609"/>
      <c r="E65" s="191"/>
      <c r="F65" s="191"/>
      <c r="G65" s="191"/>
    </row>
    <row r="66" spans="1:7" ht="12.75">
      <c r="A66" s="610" t="s">
        <v>211</v>
      </c>
      <c r="B66" s="610"/>
      <c r="C66" s="610"/>
      <c r="D66" s="611"/>
      <c r="E66" s="193">
        <f>+E51+E54</f>
        <v>0</v>
      </c>
      <c r="F66" s="193">
        <f>+F51+F54</f>
        <v>0</v>
      </c>
      <c r="G66" s="193">
        <f>+G51+G54</f>
        <v>0</v>
      </c>
    </row>
    <row r="67" spans="1:7" ht="12.75">
      <c r="A67" s="194"/>
      <c r="B67" s="194"/>
      <c r="C67" s="194"/>
      <c r="D67" s="194"/>
      <c r="E67" s="195"/>
      <c r="F67" s="195"/>
      <c r="G67" s="195"/>
    </row>
    <row r="68" spans="1:7" ht="12.75">
      <c r="A68" s="593" t="s">
        <v>212</v>
      </c>
      <c r="B68" s="593"/>
      <c r="C68" s="593"/>
      <c r="D68" s="594"/>
      <c r="E68" s="196">
        <f>E47-E66</f>
        <v>0</v>
      </c>
      <c r="F68" s="196">
        <f>F47-F66</f>
        <v>0</v>
      </c>
      <c r="G68" s="197">
        <f>G47-G66</f>
        <v>0</v>
      </c>
    </row>
    <row r="69" spans="1:7" ht="15.75">
      <c r="A69" s="189"/>
      <c r="B69" s="189"/>
      <c r="C69" s="189"/>
      <c r="D69" s="189"/>
      <c r="E69" s="198"/>
      <c r="F69" s="198"/>
      <c r="G69" s="198"/>
    </row>
    <row r="70" spans="1:7" ht="12.75">
      <c r="A70" s="593" t="s">
        <v>213</v>
      </c>
      <c r="B70" s="593"/>
      <c r="C70" s="593"/>
      <c r="D70" s="594"/>
      <c r="E70" s="199" t="s">
        <v>108</v>
      </c>
      <c r="F70" s="199" t="s">
        <v>109</v>
      </c>
      <c r="G70" s="200" t="s">
        <v>113</v>
      </c>
    </row>
    <row r="71" spans="1:7" ht="12.75">
      <c r="A71" s="634" t="s">
        <v>214</v>
      </c>
      <c r="B71" s="634"/>
      <c r="C71" s="634"/>
      <c r="D71" s="635"/>
      <c r="E71" s="201"/>
      <c r="F71" s="201"/>
      <c r="G71" s="202"/>
    </row>
    <row r="72" spans="1:7" ht="15.75">
      <c r="A72" s="182"/>
      <c r="B72" s="182"/>
      <c r="C72" s="182"/>
      <c r="D72" s="182"/>
      <c r="E72" s="203"/>
      <c r="F72" s="203"/>
      <c r="G72" s="203"/>
    </row>
    <row r="73" spans="1:7" ht="12.75">
      <c r="A73" s="593" t="s">
        <v>215</v>
      </c>
      <c r="B73" s="593"/>
      <c r="C73" s="593"/>
      <c r="D73" s="594"/>
      <c r="E73" s="199" t="s">
        <v>108</v>
      </c>
      <c r="F73" s="199" t="s">
        <v>109</v>
      </c>
      <c r="G73" s="200" t="s">
        <v>113</v>
      </c>
    </row>
    <row r="74" spans="1:7" ht="12.75">
      <c r="A74" s="636" t="s">
        <v>214</v>
      </c>
      <c r="B74" s="636"/>
      <c r="C74" s="636"/>
      <c r="D74" s="637"/>
      <c r="E74" s="201"/>
      <c r="F74" s="201"/>
      <c r="G74" s="202"/>
    </row>
    <row r="75" spans="1:7" ht="15.75">
      <c r="A75" s="182"/>
      <c r="B75" s="182"/>
      <c r="C75" s="182"/>
      <c r="D75" s="182"/>
      <c r="E75" s="204"/>
      <c r="F75" s="204"/>
      <c r="G75" s="204"/>
    </row>
    <row r="76" spans="1:7" ht="12.75">
      <c r="A76" s="595" t="s">
        <v>216</v>
      </c>
      <c r="B76" s="638"/>
      <c r="C76" s="638"/>
      <c r="D76" s="639"/>
      <c r="E76" s="599" t="s">
        <v>108</v>
      </c>
      <c r="F76" s="599" t="s">
        <v>109</v>
      </c>
      <c r="G76" s="601" t="s">
        <v>113</v>
      </c>
    </row>
    <row r="77" spans="1:7" ht="12.75">
      <c r="A77" s="640"/>
      <c r="B77" s="640"/>
      <c r="C77" s="640"/>
      <c r="D77" s="641"/>
      <c r="E77" s="600"/>
      <c r="F77" s="600"/>
      <c r="G77" s="602"/>
    </row>
    <row r="78" spans="1:7" ht="12.75">
      <c r="A78" s="236" t="s">
        <v>217</v>
      </c>
      <c r="B78" s="189"/>
      <c r="C78" s="189"/>
      <c r="D78" s="205"/>
      <c r="E78" s="206"/>
      <c r="F78" s="206"/>
      <c r="G78" s="207"/>
    </row>
    <row r="79" spans="1:7" ht="12.75">
      <c r="A79" s="208" t="s">
        <v>218</v>
      </c>
      <c r="B79" s="182"/>
      <c r="C79" s="182"/>
      <c r="D79" s="183"/>
      <c r="E79" s="186"/>
      <c r="F79" s="186"/>
      <c r="G79" s="209"/>
    </row>
    <row r="80" spans="1:7" ht="12.75">
      <c r="A80" s="208" t="s">
        <v>219</v>
      </c>
      <c r="B80" s="182"/>
      <c r="C80" s="182"/>
      <c r="D80" s="183"/>
      <c r="E80" s="186"/>
      <c r="F80" s="186"/>
      <c r="G80" s="209"/>
    </row>
    <row r="81" spans="1:7" ht="12.75">
      <c r="A81" s="210" t="s">
        <v>220</v>
      </c>
      <c r="B81" s="211"/>
      <c r="C81" s="211"/>
      <c r="D81" s="212"/>
      <c r="E81" s="213"/>
      <c r="F81" s="213"/>
      <c r="G81" s="214"/>
    </row>
    <row r="82" spans="1:7" ht="12.75">
      <c r="A82" s="610" t="s">
        <v>221</v>
      </c>
      <c r="B82" s="610"/>
      <c r="C82" s="610"/>
      <c r="D82" s="611"/>
      <c r="E82" s="199" t="s">
        <v>108</v>
      </c>
      <c r="F82" s="199" t="s">
        <v>109</v>
      </c>
      <c r="G82" s="200" t="s">
        <v>113</v>
      </c>
    </row>
    <row r="83" spans="1:7" ht="12.75">
      <c r="A83" s="236" t="s">
        <v>222</v>
      </c>
      <c r="B83" s="189"/>
      <c r="C83" s="189"/>
      <c r="D83" s="205"/>
      <c r="E83" s="206"/>
      <c r="F83" s="206"/>
      <c r="G83" s="207"/>
    </row>
    <row r="84" spans="1:7" ht="12.75">
      <c r="A84" s="208" t="s">
        <v>223</v>
      </c>
      <c r="B84" s="182"/>
      <c r="C84" s="182"/>
      <c r="D84" s="183"/>
      <c r="E84" s="186"/>
      <c r="F84" s="186"/>
      <c r="G84" s="209"/>
    </row>
    <row r="85" spans="1:7" ht="12.75">
      <c r="A85" s="210" t="s">
        <v>224</v>
      </c>
      <c r="B85" s="211"/>
      <c r="C85" s="211"/>
      <c r="D85" s="212"/>
      <c r="E85" s="213"/>
      <c r="F85" s="213"/>
      <c r="G85" s="214"/>
    </row>
    <row r="86" spans="1:7" ht="12.75">
      <c r="A86" s="629" t="s">
        <v>225</v>
      </c>
      <c r="B86" s="629"/>
      <c r="C86" s="629"/>
      <c r="D86" s="629"/>
      <c r="E86" s="629"/>
      <c r="F86" s="629"/>
      <c r="G86" s="629"/>
    </row>
    <row r="87" spans="1:7" ht="12.75">
      <c r="A87" s="630" t="s">
        <v>173</v>
      </c>
      <c r="B87" s="631"/>
      <c r="C87" s="631"/>
      <c r="D87" s="632"/>
      <c r="E87" s="633" t="s">
        <v>108</v>
      </c>
      <c r="F87" s="633" t="s">
        <v>109</v>
      </c>
      <c r="G87" s="591" t="s">
        <v>113</v>
      </c>
    </row>
    <row r="88" spans="1:7" ht="12.75">
      <c r="A88" s="621"/>
      <c r="B88" s="621"/>
      <c r="C88" s="621"/>
      <c r="D88" s="622"/>
      <c r="E88" s="600"/>
      <c r="F88" s="600"/>
      <c r="G88" s="602"/>
    </row>
    <row r="89" spans="1:7" ht="12.75">
      <c r="A89" s="625" t="s">
        <v>226</v>
      </c>
      <c r="B89" s="625"/>
      <c r="C89" s="625"/>
      <c r="D89" s="626"/>
      <c r="E89" s="184">
        <f>+E90+E99+E109+E113+E114+E115</f>
        <v>0</v>
      </c>
      <c r="F89" s="184">
        <f>+F90+F99+F109+F113+F114+F115</f>
        <v>0</v>
      </c>
      <c r="G89" s="184">
        <f>+G90+G99+G109+G113+G114+G115</f>
        <v>0</v>
      </c>
    </row>
    <row r="90" spans="1:7" ht="12.75">
      <c r="A90" s="616" t="s">
        <v>175</v>
      </c>
      <c r="B90" s="616"/>
      <c r="C90" s="616"/>
      <c r="D90" s="617"/>
      <c r="E90" s="184">
        <f>+E91+E95</f>
        <v>0</v>
      </c>
      <c r="F90" s="184">
        <f>+F91+F95</f>
        <v>0</v>
      </c>
      <c r="G90" s="184">
        <f>+G91+G95</f>
        <v>0</v>
      </c>
    </row>
    <row r="91" spans="1:7" ht="12.75">
      <c r="A91" s="623" t="s">
        <v>176</v>
      </c>
      <c r="B91" s="623"/>
      <c r="C91" s="623"/>
      <c r="D91" s="624"/>
      <c r="E91" s="184">
        <f>+E92+E93+E94</f>
        <v>0</v>
      </c>
      <c r="F91" s="184">
        <f>+F92+F93+F94</f>
        <v>0</v>
      </c>
      <c r="G91" s="184">
        <f>+G92+G93+G94</f>
        <v>0</v>
      </c>
    </row>
    <row r="92" spans="1:7" ht="12.75">
      <c r="A92" s="627" t="s">
        <v>177</v>
      </c>
      <c r="B92" s="627"/>
      <c r="C92" s="627"/>
      <c r="D92" s="628"/>
      <c r="E92" s="184"/>
      <c r="F92" s="184"/>
      <c r="G92" s="184"/>
    </row>
    <row r="93" spans="1:7" ht="12.75">
      <c r="A93" s="627" t="s">
        <v>178</v>
      </c>
      <c r="B93" s="627"/>
      <c r="C93" s="627"/>
      <c r="D93" s="628"/>
      <c r="E93" s="184"/>
      <c r="F93" s="184"/>
      <c r="G93" s="184"/>
    </row>
    <row r="94" spans="1:7" ht="12.75">
      <c r="A94" s="627" t="s">
        <v>179</v>
      </c>
      <c r="B94" s="627"/>
      <c r="C94" s="627"/>
      <c r="D94" s="628"/>
      <c r="E94" s="184"/>
      <c r="F94" s="184"/>
      <c r="G94" s="184"/>
    </row>
    <row r="95" spans="1:7" ht="12.75">
      <c r="A95" s="623" t="s">
        <v>180</v>
      </c>
      <c r="B95" s="623"/>
      <c r="C95" s="623"/>
      <c r="D95" s="624"/>
      <c r="E95" s="184">
        <f>+E96+E97+E98</f>
        <v>0</v>
      </c>
      <c r="F95" s="184">
        <f>+F96+F97+F98</f>
        <v>0</v>
      </c>
      <c r="G95" s="184">
        <f>+G96+G97+G98</f>
        <v>0</v>
      </c>
    </row>
    <row r="96" spans="1:7" ht="12.75">
      <c r="A96" s="627" t="s">
        <v>177</v>
      </c>
      <c r="B96" s="627"/>
      <c r="C96" s="627"/>
      <c r="D96" s="628"/>
      <c r="E96" s="185"/>
      <c r="F96" s="185"/>
      <c r="G96" s="185"/>
    </row>
    <row r="97" spans="1:7" ht="12.75">
      <c r="A97" s="627" t="s">
        <v>178</v>
      </c>
      <c r="B97" s="627"/>
      <c r="C97" s="627"/>
      <c r="D97" s="628"/>
      <c r="E97" s="186"/>
      <c r="F97" s="186"/>
      <c r="G97" s="186"/>
    </row>
    <row r="98" spans="1:7" ht="12.75">
      <c r="A98" s="627" t="s">
        <v>179</v>
      </c>
      <c r="B98" s="627"/>
      <c r="C98" s="627"/>
      <c r="D98" s="628"/>
      <c r="E98" s="186"/>
      <c r="F98" s="186"/>
      <c r="G98" s="186"/>
    </row>
    <row r="99" spans="1:7" ht="12.75">
      <c r="A99" s="616" t="s">
        <v>181</v>
      </c>
      <c r="B99" s="616"/>
      <c r="C99" s="616"/>
      <c r="D99" s="617"/>
      <c r="E99" s="187">
        <f>+E100+E104+E108</f>
        <v>0</v>
      </c>
      <c r="F99" s="187">
        <f>+F100+F104+F108</f>
        <v>0</v>
      </c>
      <c r="G99" s="187">
        <f>+G100+G104+G108</f>
        <v>0</v>
      </c>
    </row>
    <row r="100" spans="1:7" ht="12.75">
      <c r="A100" s="623" t="s">
        <v>176</v>
      </c>
      <c r="B100" s="623"/>
      <c r="C100" s="623"/>
      <c r="D100" s="624"/>
      <c r="E100" s="184">
        <f>+E101+E102+E103</f>
        <v>0</v>
      </c>
      <c r="F100" s="184">
        <f>+F101+F102+F103</f>
        <v>0</v>
      </c>
      <c r="G100" s="184">
        <f>+G101+G102+G103</f>
        <v>0</v>
      </c>
    </row>
    <row r="101" spans="1:7" ht="12.75">
      <c r="A101" s="627" t="s">
        <v>177</v>
      </c>
      <c r="B101" s="627"/>
      <c r="C101" s="627"/>
      <c r="D101" s="628"/>
      <c r="E101" s="186"/>
      <c r="F101" s="186"/>
      <c r="G101" s="186"/>
    </row>
    <row r="102" spans="1:7" ht="12.75">
      <c r="A102" s="627" t="s">
        <v>178</v>
      </c>
      <c r="B102" s="627"/>
      <c r="C102" s="627"/>
      <c r="D102" s="628"/>
      <c r="E102" s="187"/>
      <c r="F102" s="187"/>
      <c r="G102" s="187"/>
    </row>
    <row r="103" spans="1:7" ht="12.75">
      <c r="A103" s="627" t="s">
        <v>179</v>
      </c>
      <c r="B103" s="627"/>
      <c r="C103" s="627"/>
      <c r="D103" s="628"/>
      <c r="E103" s="186"/>
      <c r="F103" s="186"/>
      <c r="G103" s="186"/>
    </row>
    <row r="104" spans="1:7" ht="12.75">
      <c r="A104" s="623" t="s">
        <v>180</v>
      </c>
      <c r="B104" s="623"/>
      <c r="C104" s="623"/>
      <c r="D104" s="624"/>
      <c r="E104" s="184">
        <f>+E105+E106+E107</f>
        <v>0</v>
      </c>
      <c r="F104" s="184">
        <f>+F105+F106+F107</f>
        <v>0</v>
      </c>
      <c r="G104" s="184">
        <f>+G105+G106+G107</f>
        <v>0</v>
      </c>
    </row>
    <row r="105" spans="1:7" ht="12.75">
      <c r="A105" s="627" t="s">
        <v>177</v>
      </c>
      <c r="B105" s="627"/>
      <c r="C105" s="627"/>
      <c r="D105" s="628"/>
      <c r="E105" s="186"/>
      <c r="F105" s="186"/>
      <c r="G105" s="186"/>
    </row>
    <row r="106" spans="1:7" ht="12.75">
      <c r="A106" s="627" t="s">
        <v>178</v>
      </c>
      <c r="B106" s="627"/>
      <c r="C106" s="627"/>
      <c r="D106" s="628"/>
      <c r="E106" s="186"/>
      <c r="F106" s="186"/>
      <c r="G106" s="186"/>
    </row>
    <row r="107" spans="1:7" ht="12.75">
      <c r="A107" s="627" t="s">
        <v>179</v>
      </c>
      <c r="B107" s="627"/>
      <c r="C107" s="627"/>
      <c r="D107" s="628"/>
      <c r="E107" s="186"/>
      <c r="F107" s="186"/>
      <c r="G107" s="186"/>
    </row>
    <row r="108" spans="1:7" ht="12.75">
      <c r="A108" s="623" t="s">
        <v>182</v>
      </c>
      <c r="B108" s="623"/>
      <c r="C108" s="623"/>
      <c r="D108" s="624"/>
      <c r="E108" s="186"/>
      <c r="F108" s="186"/>
      <c r="G108" s="186"/>
    </row>
    <row r="109" spans="1:7" ht="12.75">
      <c r="A109" s="616" t="s">
        <v>183</v>
      </c>
      <c r="B109" s="616"/>
      <c r="C109" s="616"/>
      <c r="D109" s="617"/>
      <c r="E109" s="186">
        <f>+E110+E111+E112</f>
        <v>0</v>
      </c>
      <c r="F109" s="186">
        <f>+F110+F111+F112</f>
        <v>0</v>
      </c>
      <c r="G109" s="186">
        <f>+G110+G111+G112</f>
        <v>0</v>
      </c>
    </row>
    <row r="110" spans="1:7" ht="12.75">
      <c r="A110" s="623" t="s">
        <v>184</v>
      </c>
      <c r="B110" s="623"/>
      <c r="C110" s="623"/>
      <c r="D110" s="624"/>
      <c r="E110" s="186"/>
      <c r="F110" s="186"/>
      <c r="G110" s="186"/>
    </row>
    <row r="111" spans="1:7" ht="12.75">
      <c r="A111" s="623" t="s">
        <v>185</v>
      </c>
      <c r="B111" s="623"/>
      <c r="C111" s="623"/>
      <c r="D111" s="624"/>
      <c r="E111" s="186"/>
      <c r="F111" s="186"/>
      <c r="G111" s="186"/>
    </row>
    <row r="112" spans="1:7" ht="12.75">
      <c r="A112" s="623" t="s">
        <v>186</v>
      </c>
      <c r="B112" s="623"/>
      <c r="C112" s="623"/>
      <c r="D112" s="624"/>
      <c r="E112" s="186"/>
      <c r="F112" s="186"/>
      <c r="G112" s="186"/>
    </row>
    <row r="113" spans="1:7" ht="12.75">
      <c r="A113" s="616" t="s">
        <v>187</v>
      </c>
      <c r="B113" s="616"/>
      <c r="C113" s="616"/>
      <c r="D113" s="617"/>
      <c r="E113" s="186"/>
      <c r="F113" s="186"/>
      <c r="G113" s="186"/>
    </row>
    <row r="114" spans="1:7" ht="12.75">
      <c r="A114" s="616" t="s">
        <v>188</v>
      </c>
      <c r="B114" s="616"/>
      <c r="C114" s="616"/>
      <c r="D114" s="617"/>
      <c r="E114" s="186"/>
      <c r="F114" s="186"/>
      <c r="G114" s="186"/>
    </row>
    <row r="115" spans="1:7" ht="12.75">
      <c r="A115" s="616" t="s">
        <v>189</v>
      </c>
      <c r="B115" s="616"/>
      <c r="C115" s="616"/>
      <c r="D115" s="617"/>
      <c r="E115" s="186">
        <f>+E116+E117</f>
        <v>0</v>
      </c>
      <c r="F115" s="186">
        <f>+F116+F117</f>
        <v>0</v>
      </c>
      <c r="G115" s="186">
        <f>+G116+G117</f>
        <v>0</v>
      </c>
    </row>
    <row r="116" spans="1:7" ht="12.75">
      <c r="A116" s="623" t="s">
        <v>190</v>
      </c>
      <c r="B116" s="623"/>
      <c r="C116" s="623"/>
      <c r="D116" s="624"/>
      <c r="E116" s="187"/>
      <c r="F116" s="187"/>
      <c r="G116" s="187"/>
    </row>
    <row r="117" spans="1:7" ht="12.75">
      <c r="A117" s="623" t="s">
        <v>191</v>
      </c>
      <c r="B117" s="623"/>
      <c r="C117" s="623"/>
      <c r="D117" s="624"/>
      <c r="E117" s="186"/>
      <c r="F117" s="186"/>
      <c r="G117" s="186"/>
    </row>
    <row r="118" spans="1:7" ht="12.75">
      <c r="A118" s="625" t="s">
        <v>227</v>
      </c>
      <c r="B118" s="625"/>
      <c r="C118" s="625"/>
      <c r="D118" s="626"/>
      <c r="E118" s="186">
        <f>+E119+E120+E121</f>
        <v>0</v>
      </c>
      <c r="F118" s="186">
        <f>+F119+F120+F121</f>
        <v>0</v>
      </c>
      <c r="G118" s="186">
        <f>+G119+G120+G121</f>
        <v>0</v>
      </c>
    </row>
    <row r="119" spans="1:7" ht="12.75">
      <c r="A119" s="616" t="s">
        <v>193</v>
      </c>
      <c r="B119" s="616"/>
      <c r="C119" s="616"/>
      <c r="D119" s="617"/>
      <c r="E119" s="186"/>
      <c r="F119" s="186"/>
      <c r="G119" s="186"/>
    </row>
    <row r="120" spans="1:7" ht="12.75">
      <c r="A120" s="616" t="s">
        <v>194</v>
      </c>
      <c r="B120" s="616"/>
      <c r="C120" s="616"/>
      <c r="D120" s="617"/>
      <c r="E120" s="186"/>
      <c r="F120" s="186"/>
      <c r="G120" s="186"/>
    </row>
    <row r="121" spans="1:7" ht="12.75">
      <c r="A121" s="616" t="s">
        <v>195</v>
      </c>
      <c r="B121" s="616"/>
      <c r="C121" s="616"/>
      <c r="D121" s="617"/>
      <c r="E121" s="186"/>
      <c r="F121" s="186"/>
      <c r="G121" s="186"/>
    </row>
    <row r="122" spans="1:7" ht="12.75">
      <c r="A122" s="610" t="s">
        <v>228</v>
      </c>
      <c r="B122" s="610"/>
      <c r="C122" s="610"/>
      <c r="D122" s="611"/>
      <c r="E122" s="188">
        <f>+E89+E118</f>
        <v>0</v>
      </c>
      <c r="F122" s="188">
        <f>+F89+F118</f>
        <v>0</v>
      </c>
      <c r="G122" s="188">
        <f>+G89+G118</f>
        <v>0</v>
      </c>
    </row>
    <row r="123" spans="1:7" ht="15.75">
      <c r="A123" s="189"/>
      <c r="B123" s="189"/>
      <c r="C123" s="189"/>
      <c r="D123" s="189"/>
      <c r="E123" s="190"/>
      <c r="F123" s="190"/>
      <c r="G123" s="190"/>
    </row>
    <row r="124" spans="1:7" ht="12.75">
      <c r="A124" s="618" t="s">
        <v>197</v>
      </c>
      <c r="B124" s="619"/>
      <c r="C124" s="619"/>
      <c r="D124" s="620"/>
      <c r="E124" s="599" t="s">
        <v>108</v>
      </c>
      <c r="F124" s="599" t="s">
        <v>109</v>
      </c>
      <c r="G124" s="601" t="s">
        <v>113</v>
      </c>
    </row>
    <row r="125" spans="1:7" ht="12.75">
      <c r="A125" s="621"/>
      <c r="B125" s="621"/>
      <c r="C125" s="621"/>
      <c r="D125" s="622"/>
      <c r="E125" s="600"/>
      <c r="F125" s="600"/>
      <c r="G125" s="602"/>
    </row>
    <row r="126" spans="1:7" ht="12.75">
      <c r="A126" s="612" t="s">
        <v>229</v>
      </c>
      <c r="B126" s="612"/>
      <c r="C126" s="612"/>
      <c r="D126" s="613"/>
      <c r="E126" s="184">
        <f>+E127+E128</f>
        <v>0</v>
      </c>
      <c r="F126" s="184">
        <f>+F127+F128</f>
        <v>0</v>
      </c>
      <c r="G126" s="184">
        <f>+G127+G128</f>
        <v>0</v>
      </c>
    </row>
    <row r="127" spans="1:7" ht="12.75">
      <c r="A127" s="606" t="s">
        <v>199</v>
      </c>
      <c r="B127" s="606"/>
      <c r="C127" s="606"/>
      <c r="D127" s="607"/>
      <c r="E127" s="184"/>
      <c r="F127" s="184"/>
      <c r="G127" s="184"/>
    </row>
    <row r="128" spans="1:7" ht="12.75">
      <c r="A128" s="606" t="s">
        <v>200</v>
      </c>
      <c r="B128" s="606"/>
      <c r="C128" s="606"/>
      <c r="D128" s="607"/>
      <c r="E128" s="184"/>
      <c r="F128" s="184"/>
      <c r="G128" s="184"/>
    </row>
    <row r="129" spans="1:7" ht="12.75">
      <c r="A129" s="614" t="s">
        <v>230</v>
      </c>
      <c r="B129" s="614"/>
      <c r="C129" s="614"/>
      <c r="D129" s="615"/>
      <c r="E129" s="184">
        <f>+E130+E134+E138</f>
        <v>0</v>
      </c>
      <c r="F129" s="184">
        <f>+F130+F134+F138</f>
        <v>0</v>
      </c>
      <c r="G129" s="184">
        <f>+G130+G134+G138</f>
        <v>0</v>
      </c>
    </row>
    <row r="130" spans="1:7" ht="12.75">
      <c r="A130" s="606" t="s">
        <v>202</v>
      </c>
      <c r="B130" s="606"/>
      <c r="C130" s="606"/>
      <c r="D130" s="607"/>
      <c r="E130" s="184">
        <f>+E131+E132+E133</f>
        <v>0</v>
      </c>
      <c r="F130" s="184">
        <f>+F131+F132+F133</f>
        <v>0</v>
      </c>
      <c r="G130" s="184">
        <f>+G131+G132+G133</f>
        <v>0</v>
      </c>
    </row>
    <row r="131" spans="1:7" ht="12.75">
      <c r="A131" s="604" t="s">
        <v>203</v>
      </c>
      <c r="B131" s="604"/>
      <c r="C131" s="604"/>
      <c r="D131" s="605"/>
      <c r="E131" s="184"/>
      <c r="F131" s="184"/>
      <c r="G131" s="184"/>
    </row>
    <row r="132" spans="1:7" ht="12.75">
      <c r="A132" s="604" t="s">
        <v>204</v>
      </c>
      <c r="B132" s="604"/>
      <c r="C132" s="604"/>
      <c r="D132" s="605"/>
      <c r="E132" s="184"/>
      <c r="F132" s="184"/>
      <c r="G132" s="184"/>
    </row>
    <row r="133" spans="1:7" ht="12.75">
      <c r="A133" s="604" t="s">
        <v>205</v>
      </c>
      <c r="B133" s="604"/>
      <c r="C133" s="604"/>
      <c r="D133" s="605"/>
      <c r="E133" s="184"/>
      <c r="F133" s="184"/>
      <c r="G133" s="184"/>
    </row>
    <row r="134" spans="1:7" ht="12.75">
      <c r="A134" s="606" t="s">
        <v>206</v>
      </c>
      <c r="B134" s="606"/>
      <c r="C134" s="606"/>
      <c r="D134" s="607"/>
      <c r="E134" s="184">
        <f>+E135+E136+E137</f>
        <v>0</v>
      </c>
      <c r="F134" s="184">
        <f>+F135+F136+F137</f>
        <v>0</v>
      </c>
      <c r="G134" s="184">
        <f>+G135+G136+G137</f>
        <v>0</v>
      </c>
    </row>
    <row r="135" spans="1:7" ht="12.75">
      <c r="A135" s="604" t="s">
        <v>207</v>
      </c>
      <c r="B135" s="604"/>
      <c r="C135" s="604"/>
      <c r="D135" s="605"/>
      <c r="E135" s="191"/>
      <c r="F135" s="191"/>
      <c r="G135" s="191"/>
    </row>
    <row r="136" spans="1:7" ht="12.75">
      <c r="A136" s="604" t="s">
        <v>204</v>
      </c>
      <c r="B136" s="604"/>
      <c r="C136" s="604"/>
      <c r="D136" s="605"/>
      <c r="E136" s="191"/>
      <c r="F136" s="191"/>
      <c r="G136" s="191"/>
    </row>
    <row r="137" spans="1:7" ht="12.75">
      <c r="A137" s="604" t="s">
        <v>205</v>
      </c>
      <c r="B137" s="604"/>
      <c r="C137" s="604"/>
      <c r="D137" s="605"/>
      <c r="E137" s="191"/>
      <c r="F137" s="191"/>
      <c r="G137" s="191"/>
    </row>
    <row r="138" spans="1:7" ht="12.75">
      <c r="A138" s="606" t="s">
        <v>208</v>
      </c>
      <c r="B138" s="606"/>
      <c r="C138" s="606"/>
      <c r="D138" s="607"/>
      <c r="E138" s="191">
        <f>+E139+E140</f>
        <v>0</v>
      </c>
      <c r="F138" s="191">
        <f>+F139+F140</f>
        <v>0</v>
      </c>
      <c r="G138" s="191">
        <f>+G139+G140</f>
        <v>0</v>
      </c>
    </row>
    <row r="139" spans="1:7" ht="12.75">
      <c r="A139" s="604" t="s">
        <v>209</v>
      </c>
      <c r="B139" s="604"/>
      <c r="C139" s="604"/>
      <c r="D139" s="605"/>
      <c r="E139" s="192"/>
      <c r="F139" s="192"/>
      <c r="G139" s="192"/>
    </row>
    <row r="140" spans="1:7" ht="12.75">
      <c r="A140" s="608" t="s">
        <v>210</v>
      </c>
      <c r="B140" s="608"/>
      <c r="C140" s="608"/>
      <c r="D140" s="609"/>
      <c r="E140" s="191"/>
      <c r="F140" s="191"/>
      <c r="G140" s="191"/>
    </row>
    <row r="141" spans="1:7" ht="12.75">
      <c r="A141" s="610" t="s">
        <v>231</v>
      </c>
      <c r="B141" s="610"/>
      <c r="C141" s="610"/>
      <c r="D141" s="611"/>
      <c r="E141" s="193">
        <f>+E126+E129</f>
        <v>0</v>
      </c>
      <c r="F141" s="193">
        <f>+F126+F129</f>
        <v>0</v>
      </c>
      <c r="G141" s="193">
        <f>+G126+G129</f>
        <v>0</v>
      </c>
    </row>
    <row r="142" spans="1:7" ht="12.75">
      <c r="A142" s="194"/>
      <c r="B142" s="194"/>
      <c r="C142" s="194"/>
      <c r="D142" s="194"/>
      <c r="E142" s="195"/>
      <c r="F142" s="195"/>
      <c r="G142" s="195"/>
    </row>
    <row r="143" spans="1:7" ht="12.75">
      <c r="A143" s="593" t="s">
        <v>232</v>
      </c>
      <c r="B143" s="593"/>
      <c r="C143" s="593"/>
      <c r="D143" s="594"/>
      <c r="E143" s="196">
        <f>E122-E141</f>
        <v>0</v>
      </c>
      <c r="F143" s="196">
        <f>F122-F141</f>
        <v>0</v>
      </c>
      <c r="G143" s="197">
        <f>G122-G141</f>
        <v>0</v>
      </c>
    </row>
    <row r="144" spans="1:7" ht="15.75">
      <c r="A144" s="189"/>
      <c r="B144" s="189"/>
      <c r="C144" s="189"/>
      <c r="D144" s="189"/>
      <c r="E144" s="198"/>
      <c r="F144" s="198"/>
      <c r="G144" s="198"/>
    </row>
    <row r="145" spans="1:7" ht="12.75">
      <c r="A145" s="595" t="s">
        <v>216</v>
      </c>
      <c r="B145" s="595"/>
      <c r="C145" s="595"/>
      <c r="D145" s="596"/>
      <c r="E145" s="599" t="s">
        <v>108</v>
      </c>
      <c r="F145" s="599" t="s">
        <v>109</v>
      </c>
      <c r="G145" s="601" t="s">
        <v>113</v>
      </c>
    </row>
    <row r="146" spans="1:7" ht="12.75">
      <c r="A146" s="597"/>
      <c r="B146" s="597"/>
      <c r="C146" s="597"/>
      <c r="D146" s="598"/>
      <c r="E146" s="600"/>
      <c r="F146" s="600"/>
      <c r="G146" s="602"/>
    </row>
    <row r="147" spans="1:7" ht="12.75">
      <c r="A147" s="236" t="s">
        <v>233</v>
      </c>
      <c r="B147" s="189"/>
      <c r="C147" s="189"/>
      <c r="D147" s="205"/>
      <c r="E147" s="206"/>
      <c r="F147" s="206"/>
      <c r="G147" s="207"/>
    </row>
    <row r="148" spans="1:7" ht="12.75">
      <c r="A148" s="210" t="s">
        <v>234</v>
      </c>
      <c r="B148" s="211"/>
      <c r="C148" s="211"/>
      <c r="D148" s="212"/>
      <c r="E148" s="213"/>
      <c r="F148" s="213"/>
      <c r="G148" s="214"/>
    </row>
    <row r="149" spans="1:7" ht="12.75">
      <c r="A149" s="215"/>
      <c r="B149" s="215"/>
      <c r="C149" s="215"/>
      <c r="D149" s="215"/>
      <c r="E149" s="215"/>
      <c r="F149" s="215"/>
      <c r="G149" s="215"/>
    </row>
    <row r="150" spans="1:7" ht="12.75">
      <c r="A150" s="603" t="s">
        <v>235</v>
      </c>
      <c r="B150" s="603"/>
      <c r="C150" s="603"/>
      <c r="D150" s="603"/>
      <c r="E150" s="603"/>
      <c r="F150" s="603"/>
      <c r="G150" s="603"/>
    </row>
    <row r="151" spans="1:7" ht="12.75">
      <c r="A151" s="216"/>
      <c r="B151" s="178"/>
      <c r="C151" s="178"/>
      <c r="D151" s="178"/>
      <c r="E151" s="178"/>
      <c r="F151" s="217"/>
      <c r="G151" s="218"/>
    </row>
    <row r="152" spans="1:7" ht="12.75">
      <c r="A152" s="504" t="s">
        <v>166</v>
      </c>
      <c r="B152" s="504"/>
      <c r="C152" s="504"/>
      <c r="D152" s="504"/>
      <c r="E152" s="504"/>
      <c r="F152" s="504"/>
      <c r="G152" s="179"/>
    </row>
    <row r="153" spans="1:7" ht="12.75">
      <c r="A153" s="504" t="s">
        <v>168</v>
      </c>
      <c r="B153" s="504"/>
      <c r="C153" s="504"/>
      <c r="D153" s="504"/>
      <c r="E153" s="504"/>
      <c r="F153" s="504"/>
      <c r="G153" s="179"/>
    </row>
    <row r="154" spans="1:7" ht="12.75">
      <c r="A154" s="504" t="s">
        <v>7</v>
      </c>
      <c r="B154" s="504"/>
      <c r="C154" s="504"/>
      <c r="D154" s="504"/>
      <c r="E154" s="504"/>
      <c r="F154" s="504"/>
      <c r="G154" s="179"/>
    </row>
    <row r="155" spans="1:7" ht="12.75">
      <c r="A155" s="585" t="s">
        <v>236</v>
      </c>
      <c r="B155" s="585"/>
      <c r="C155" s="585"/>
      <c r="D155" s="585"/>
      <c r="E155" s="585"/>
      <c r="F155" s="585"/>
      <c r="G155" s="219"/>
    </row>
    <row r="156" spans="1:7" ht="12.75">
      <c r="A156" s="504" t="s">
        <v>128</v>
      </c>
      <c r="B156" s="504"/>
      <c r="C156" s="504"/>
      <c r="D156" s="504"/>
      <c r="E156" s="504"/>
      <c r="F156" s="504"/>
      <c r="G156" s="179"/>
    </row>
    <row r="157" spans="1:7" ht="12.75">
      <c r="A157" s="220"/>
      <c r="B157" s="220"/>
      <c r="C157" s="220"/>
      <c r="D157" s="220"/>
      <c r="E157" s="220"/>
      <c r="F157" s="220"/>
      <c r="G157" s="220"/>
    </row>
    <row r="158" spans="1:7" ht="12.75">
      <c r="A158" s="221" t="s">
        <v>237</v>
      </c>
      <c r="B158" s="182"/>
      <c r="C158" s="182"/>
      <c r="D158" s="182"/>
      <c r="E158" s="222"/>
      <c r="F158" s="222"/>
      <c r="G158" s="223">
        <v>1</v>
      </c>
    </row>
    <row r="159" spans="1:7" ht="12.75">
      <c r="A159" s="586" t="s">
        <v>1</v>
      </c>
      <c r="B159" s="589" t="s">
        <v>238</v>
      </c>
      <c r="C159" s="590"/>
      <c r="D159" s="224" t="s">
        <v>239</v>
      </c>
      <c r="E159" s="589" t="s">
        <v>240</v>
      </c>
      <c r="F159" s="590"/>
      <c r="G159" s="225" t="s">
        <v>79</v>
      </c>
    </row>
    <row r="160" spans="1:7" ht="12.75">
      <c r="A160" s="587"/>
      <c r="B160" s="591" t="s">
        <v>241</v>
      </c>
      <c r="C160" s="592"/>
      <c r="D160" s="226" t="s">
        <v>241</v>
      </c>
      <c r="E160" s="591" t="s">
        <v>242</v>
      </c>
      <c r="F160" s="592"/>
      <c r="G160" s="227" t="s">
        <v>243</v>
      </c>
    </row>
    <row r="161" spans="1:7" ht="18">
      <c r="A161" s="588"/>
      <c r="B161" s="580" t="s">
        <v>85</v>
      </c>
      <c r="C161" s="581"/>
      <c r="D161" s="228" t="s">
        <v>86</v>
      </c>
      <c r="E161" s="580" t="s">
        <v>244</v>
      </c>
      <c r="F161" s="581"/>
      <c r="G161" s="229" t="s">
        <v>245</v>
      </c>
    </row>
    <row r="162" spans="1:7" ht="12.75">
      <c r="A162" s="230">
        <v>2016</v>
      </c>
      <c r="B162" s="582"/>
      <c r="C162" s="583"/>
      <c r="D162" s="235"/>
      <c r="E162" s="582"/>
      <c r="F162" s="584"/>
      <c r="G162" s="231"/>
    </row>
    <row r="163" spans="1:7" ht="12.75">
      <c r="A163" s="230">
        <v>2017</v>
      </c>
      <c r="B163" s="577"/>
      <c r="C163" s="578"/>
      <c r="D163" s="234"/>
      <c r="E163" s="577"/>
      <c r="F163" s="579"/>
      <c r="G163" s="231"/>
    </row>
    <row r="164" spans="1:7" ht="12.75">
      <c r="A164" s="230">
        <v>2018</v>
      </c>
      <c r="B164" s="577"/>
      <c r="C164" s="578"/>
      <c r="D164" s="234"/>
      <c r="E164" s="577"/>
      <c r="F164" s="579"/>
      <c r="G164" s="231"/>
    </row>
    <row r="165" spans="1:7" ht="12.75">
      <c r="A165" s="230">
        <v>2019</v>
      </c>
      <c r="B165" s="577"/>
      <c r="C165" s="578"/>
      <c r="D165" s="234"/>
      <c r="E165" s="577"/>
      <c r="F165" s="579"/>
      <c r="G165" s="231"/>
    </row>
    <row r="166" spans="1:7" ht="12.75">
      <c r="A166" s="230">
        <v>2020</v>
      </c>
      <c r="B166" s="577"/>
      <c r="C166" s="578"/>
      <c r="D166" s="234"/>
      <c r="E166" s="577"/>
      <c r="F166" s="579"/>
      <c r="G166" s="231"/>
    </row>
    <row r="167" spans="1:7" ht="12.75">
      <c r="A167" s="230">
        <v>2021</v>
      </c>
      <c r="B167" s="577"/>
      <c r="C167" s="578"/>
      <c r="D167" s="234"/>
      <c r="E167" s="577"/>
      <c r="F167" s="579"/>
      <c r="G167" s="231"/>
    </row>
    <row r="168" spans="1:7" ht="12.75">
      <c r="A168" s="230">
        <v>2022</v>
      </c>
      <c r="B168" s="577"/>
      <c r="C168" s="578"/>
      <c r="D168" s="234"/>
      <c r="E168" s="577"/>
      <c r="F168" s="579"/>
      <c r="G168" s="231"/>
    </row>
    <row r="169" spans="1:7" ht="12.75">
      <c r="A169" s="230">
        <v>2023</v>
      </c>
      <c r="B169" s="577"/>
      <c r="C169" s="578"/>
      <c r="D169" s="234"/>
      <c r="E169" s="577"/>
      <c r="F169" s="579"/>
      <c r="G169" s="231"/>
    </row>
    <row r="170" spans="1:7" ht="12.75">
      <c r="A170" s="230">
        <v>2024</v>
      </c>
      <c r="B170" s="577"/>
      <c r="C170" s="578"/>
      <c r="D170" s="234"/>
      <c r="E170" s="577"/>
      <c r="F170" s="579"/>
      <c r="G170" s="231"/>
    </row>
    <row r="171" spans="1:7" ht="12.75">
      <c r="A171" s="230">
        <v>2025</v>
      </c>
      <c r="B171" s="577"/>
      <c r="C171" s="578"/>
      <c r="D171" s="234"/>
      <c r="E171" s="577"/>
      <c r="F171" s="579"/>
      <c r="G171" s="231"/>
    </row>
    <row r="172" spans="1:7" ht="12.75">
      <c r="A172" s="230">
        <v>2026</v>
      </c>
      <c r="B172" s="577"/>
      <c r="C172" s="578"/>
      <c r="D172" s="234"/>
      <c r="E172" s="577"/>
      <c r="F172" s="579"/>
      <c r="G172" s="231"/>
    </row>
    <row r="173" spans="1:7" ht="12.75">
      <c r="A173" s="230">
        <v>2027</v>
      </c>
      <c r="B173" s="577"/>
      <c r="C173" s="578"/>
      <c r="D173" s="234"/>
      <c r="E173" s="577"/>
      <c r="F173" s="579"/>
      <c r="G173" s="231"/>
    </row>
    <row r="174" spans="1:7" ht="12.75">
      <c r="A174" s="230">
        <v>2028</v>
      </c>
      <c r="B174" s="577"/>
      <c r="C174" s="578"/>
      <c r="D174" s="234"/>
      <c r="E174" s="577"/>
      <c r="F174" s="579"/>
      <c r="G174" s="231"/>
    </row>
    <row r="175" spans="1:7" ht="12.75">
      <c r="A175" s="230">
        <v>2029</v>
      </c>
      <c r="B175" s="577"/>
      <c r="C175" s="578"/>
      <c r="D175" s="234"/>
      <c r="E175" s="577"/>
      <c r="F175" s="579"/>
      <c r="G175" s="231"/>
    </row>
    <row r="176" spans="1:7" ht="12.75">
      <c r="A176" s="230">
        <v>2030</v>
      </c>
      <c r="B176" s="577"/>
      <c r="C176" s="578"/>
      <c r="D176" s="234"/>
      <c r="E176" s="577"/>
      <c r="F176" s="579"/>
      <c r="G176" s="231"/>
    </row>
    <row r="177" spans="1:7" ht="12.75">
      <c r="A177" s="230">
        <v>2031</v>
      </c>
      <c r="B177" s="577"/>
      <c r="C177" s="578"/>
      <c r="D177" s="234"/>
      <c r="E177" s="577"/>
      <c r="F177" s="579"/>
      <c r="G177" s="231"/>
    </row>
    <row r="178" spans="1:7" ht="12.75">
      <c r="A178" s="230">
        <v>2032</v>
      </c>
      <c r="B178" s="577"/>
      <c r="C178" s="578"/>
      <c r="D178" s="234"/>
      <c r="E178" s="577"/>
      <c r="F178" s="579"/>
      <c r="G178" s="231"/>
    </row>
    <row r="179" spans="1:7" ht="12.75">
      <c r="A179" s="230">
        <v>2033</v>
      </c>
      <c r="B179" s="577"/>
      <c r="C179" s="578"/>
      <c r="D179" s="234"/>
      <c r="E179" s="577"/>
      <c r="F179" s="579"/>
      <c r="G179" s="231"/>
    </row>
    <row r="180" spans="1:7" ht="12.75">
      <c r="A180" s="230">
        <v>2034</v>
      </c>
      <c r="B180" s="577"/>
      <c r="C180" s="578"/>
      <c r="D180" s="234"/>
      <c r="E180" s="577"/>
      <c r="F180" s="579"/>
      <c r="G180" s="231"/>
    </row>
    <row r="181" spans="1:7" ht="12.75">
      <c r="A181" s="232">
        <v>2035</v>
      </c>
      <c r="B181" s="577"/>
      <c r="C181" s="578"/>
      <c r="D181" s="234"/>
      <c r="E181" s="577"/>
      <c r="F181" s="579"/>
      <c r="G181" s="231"/>
    </row>
    <row r="182" spans="1:7" ht="12.75">
      <c r="A182" s="232">
        <v>2036</v>
      </c>
      <c r="B182" s="577"/>
      <c r="C182" s="578"/>
      <c r="D182" s="234"/>
      <c r="E182" s="577"/>
      <c r="F182" s="579"/>
      <c r="G182" s="231"/>
    </row>
    <row r="183" spans="1:7" ht="12.75">
      <c r="A183" s="232">
        <v>2037</v>
      </c>
      <c r="B183" s="577"/>
      <c r="C183" s="578"/>
      <c r="D183" s="234"/>
      <c r="E183" s="577"/>
      <c r="F183" s="579"/>
      <c r="G183" s="231"/>
    </row>
    <row r="184" spans="1:7" ht="12.75">
      <c r="A184" s="232">
        <v>2038</v>
      </c>
      <c r="B184" s="577"/>
      <c r="C184" s="578"/>
      <c r="D184" s="234"/>
      <c r="E184" s="577"/>
      <c r="F184" s="579"/>
      <c r="G184" s="231"/>
    </row>
    <row r="185" spans="1:7" ht="12.75">
      <c r="A185" s="232">
        <v>2039</v>
      </c>
      <c r="B185" s="577"/>
      <c r="C185" s="578"/>
      <c r="D185" s="234"/>
      <c r="E185" s="577"/>
      <c r="F185" s="579"/>
      <c r="G185" s="231"/>
    </row>
    <row r="186" spans="1:7" ht="12.75">
      <c r="A186" s="232">
        <v>2040</v>
      </c>
      <c r="B186" s="577"/>
      <c r="C186" s="578"/>
      <c r="D186" s="234"/>
      <c r="E186" s="577"/>
      <c r="F186" s="579"/>
      <c r="G186" s="231"/>
    </row>
    <row r="187" spans="1:7" ht="12.75">
      <c r="A187" s="232">
        <v>2041</v>
      </c>
      <c r="B187" s="577"/>
      <c r="C187" s="578"/>
      <c r="D187" s="234"/>
      <c r="E187" s="577"/>
      <c r="F187" s="579"/>
      <c r="G187" s="231"/>
    </row>
    <row r="188" spans="1:7" ht="12.75">
      <c r="A188" s="232">
        <v>2042</v>
      </c>
      <c r="B188" s="577"/>
      <c r="C188" s="578"/>
      <c r="D188" s="234"/>
      <c r="E188" s="577"/>
      <c r="F188" s="579"/>
      <c r="G188" s="231"/>
    </row>
    <row r="189" spans="1:7" ht="12.75">
      <c r="A189" s="232">
        <v>2043</v>
      </c>
      <c r="B189" s="577"/>
      <c r="C189" s="578"/>
      <c r="D189" s="234"/>
      <c r="E189" s="577"/>
      <c r="F189" s="579"/>
      <c r="G189" s="231"/>
    </row>
    <row r="190" spans="1:7" ht="12.75">
      <c r="A190" s="232">
        <v>2044</v>
      </c>
      <c r="B190" s="577"/>
      <c r="C190" s="578"/>
      <c r="D190" s="234"/>
      <c r="E190" s="577"/>
      <c r="F190" s="579"/>
      <c r="G190" s="231"/>
    </row>
    <row r="191" spans="1:7" ht="12.75">
      <c r="A191" s="232">
        <v>2045</v>
      </c>
      <c r="B191" s="577"/>
      <c r="C191" s="578"/>
      <c r="D191" s="234"/>
      <c r="E191" s="577"/>
      <c r="F191" s="579"/>
      <c r="G191" s="231"/>
    </row>
    <row r="192" spans="1:7" ht="12.75">
      <c r="A192" s="230">
        <v>2046</v>
      </c>
      <c r="B192" s="577"/>
      <c r="C192" s="578"/>
      <c r="D192" s="234"/>
      <c r="E192" s="577"/>
      <c r="F192" s="579"/>
      <c r="G192" s="231"/>
    </row>
    <row r="193" spans="1:7" ht="12.75">
      <c r="A193" s="230">
        <v>2047</v>
      </c>
      <c r="B193" s="577"/>
      <c r="C193" s="578"/>
      <c r="D193" s="234"/>
      <c r="E193" s="577"/>
      <c r="F193" s="579"/>
      <c r="G193" s="231"/>
    </row>
    <row r="194" spans="1:7" ht="12.75">
      <c r="A194" s="230">
        <v>2048</v>
      </c>
      <c r="B194" s="577"/>
      <c r="C194" s="578"/>
      <c r="D194" s="234"/>
      <c r="E194" s="577"/>
      <c r="F194" s="579"/>
      <c r="G194" s="231"/>
    </row>
    <row r="195" spans="1:7" ht="12.75">
      <c r="A195" s="232">
        <v>2049</v>
      </c>
      <c r="B195" s="577"/>
      <c r="C195" s="578"/>
      <c r="D195" s="234"/>
      <c r="E195" s="577"/>
      <c r="F195" s="579"/>
      <c r="G195" s="231"/>
    </row>
    <row r="196" spans="1:7" ht="12.75">
      <c r="A196" s="232">
        <v>2050</v>
      </c>
      <c r="B196" s="577"/>
      <c r="C196" s="578"/>
      <c r="D196" s="234"/>
      <c r="E196" s="577"/>
      <c r="F196" s="579"/>
      <c r="G196" s="231"/>
    </row>
    <row r="197" spans="1:7" ht="12.75">
      <c r="A197" s="232">
        <v>2051</v>
      </c>
      <c r="B197" s="577"/>
      <c r="C197" s="578"/>
      <c r="D197" s="234"/>
      <c r="E197" s="577"/>
      <c r="F197" s="579"/>
      <c r="G197" s="231"/>
    </row>
    <row r="198" spans="1:7" ht="12.75">
      <c r="A198" s="232">
        <v>2052</v>
      </c>
      <c r="B198" s="577"/>
      <c r="C198" s="578"/>
      <c r="D198" s="234"/>
      <c r="E198" s="577"/>
      <c r="F198" s="579"/>
      <c r="G198" s="231"/>
    </row>
    <row r="199" spans="1:7" ht="12.75">
      <c r="A199" s="232">
        <v>2053</v>
      </c>
      <c r="B199" s="577"/>
      <c r="C199" s="578"/>
      <c r="D199" s="234"/>
      <c r="E199" s="577"/>
      <c r="F199" s="579"/>
      <c r="G199" s="231"/>
    </row>
    <row r="200" spans="1:7" ht="12.75">
      <c r="A200" s="232">
        <v>2054</v>
      </c>
      <c r="B200" s="577"/>
      <c r="C200" s="578"/>
      <c r="D200" s="234"/>
      <c r="E200" s="577"/>
      <c r="F200" s="579"/>
      <c r="G200" s="231"/>
    </row>
    <row r="201" spans="1:7" ht="12.75">
      <c r="A201" s="232">
        <v>2055</v>
      </c>
      <c r="B201" s="577"/>
      <c r="C201" s="578"/>
      <c r="D201" s="234"/>
      <c r="E201" s="577"/>
      <c r="F201" s="579"/>
      <c r="G201" s="231"/>
    </row>
    <row r="202" spans="1:7" ht="12.75">
      <c r="A202" s="232">
        <v>2056</v>
      </c>
      <c r="B202" s="577"/>
      <c r="C202" s="578"/>
      <c r="D202" s="234"/>
      <c r="E202" s="577"/>
      <c r="F202" s="579"/>
      <c r="G202" s="231"/>
    </row>
    <row r="203" spans="1:7" ht="12.75">
      <c r="A203" s="232">
        <v>2057</v>
      </c>
      <c r="B203" s="577"/>
      <c r="C203" s="578"/>
      <c r="D203" s="234"/>
      <c r="E203" s="577"/>
      <c r="F203" s="579"/>
      <c r="G203" s="231"/>
    </row>
    <row r="204" spans="1:7" ht="12.75">
      <c r="A204" s="232">
        <v>2058</v>
      </c>
      <c r="B204" s="577"/>
      <c r="C204" s="578"/>
      <c r="D204" s="234"/>
      <c r="E204" s="577"/>
      <c r="F204" s="579"/>
      <c r="G204" s="231"/>
    </row>
    <row r="205" spans="1:7" ht="12.75">
      <c r="A205" s="232">
        <v>2059</v>
      </c>
      <c r="B205" s="577"/>
      <c r="C205" s="578"/>
      <c r="D205" s="234"/>
      <c r="E205" s="577"/>
      <c r="F205" s="579"/>
      <c r="G205" s="231"/>
    </row>
    <row r="206" spans="1:7" ht="12.75">
      <c r="A206" s="230">
        <v>2060</v>
      </c>
      <c r="B206" s="577"/>
      <c r="C206" s="578"/>
      <c r="D206" s="234"/>
      <c r="E206" s="577"/>
      <c r="F206" s="579"/>
      <c r="G206" s="231"/>
    </row>
    <row r="207" spans="1:7" ht="12.75">
      <c r="A207" s="230">
        <v>2061</v>
      </c>
      <c r="B207" s="577"/>
      <c r="C207" s="578"/>
      <c r="D207" s="234"/>
      <c r="E207" s="577"/>
      <c r="F207" s="579"/>
      <c r="G207" s="231"/>
    </row>
    <row r="208" spans="1:7" ht="12.75">
      <c r="A208" s="230">
        <v>2062</v>
      </c>
      <c r="B208" s="577"/>
      <c r="C208" s="578"/>
      <c r="D208" s="234"/>
      <c r="E208" s="577"/>
      <c r="F208" s="579"/>
      <c r="G208" s="231"/>
    </row>
    <row r="209" spans="1:7" ht="12.75">
      <c r="A209" s="232">
        <v>2063</v>
      </c>
      <c r="B209" s="577"/>
      <c r="C209" s="578"/>
      <c r="D209" s="234"/>
      <c r="E209" s="577"/>
      <c r="F209" s="579"/>
      <c r="G209" s="231"/>
    </row>
    <row r="210" spans="1:7" ht="12.75">
      <c r="A210" s="232">
        <v>2064</v>
      </c>
      <c r="B210" s="577"/>
      <c r="C210" s="578"/>
      <c r="D210" s="234"/>
      <c r="E210" s="577"/>
      <c r="F210" s="579"/>
      <c r="G210" s="231"/>
    </row>
    <row r="211" spans="1:7" ht="12.75">
      <c r="A211" s="232">
        <v>2065</v>
      </c>
      <c r="B211" s="577"/>
      <c r="C211" s="578"/>
      <c r="D211" s="234"/>
      <c r="E211" s="577"/>
      <c r="F211" s="579"/>
      <c r="G211" s="231"/>
    </row>
    <row r="212" spans="1:7" ht="12.75">
      <c r="A212" s="232">
        <v>2066</v>
      </c>
      <c r="B212" s="577"/>
      <c r="C212" s="578"/>
      <c r="D212" s="234"/>
      <c r="E212" s="577"/>
      <c r="F212" s="579"/>
      <c r="G212" s="231"/>
    </row>
    <row r="213" spans="1:7" ht="12.75">
      <c r="A213" s="232">
        <v>2067</v>
      </c>
      <c r="B213" s="577"/>
      <c r="C213" s="578"/>
      <c r="D213" s="234"/>
      <c r="E213" s="577"/>
      <c r="F213" s="579"/>
      <c r="G213" s="231"/>
    </row>
    <row r="214" spans="1:7" ht="12.75">
      <c r="A214" s="232">
        <v>2068</v>
      </c>
      <c r="B214" s="577"/>
      <c r="C214" s="578"/>
      <c r="D214" s="234"/>
      <c r="E214" s="577"/>
      <c r="F214" s="579"/>
      <c r="G214" s="231"/>
    </row>
    <row r="215" spans="1:7" ht="12.75">
      <c r="A215" s="232">
        <v>2069</v>
      </c>
      <c r="B215" s="577"/>
      <c r="C215" s="578"/>
      <c r="D215" s="234"/>
      <c r="E215" s="577"/>
      <c r="F215" s="579"/>
      <c r="G215" s="231"/>
    </row>
    <row r="216" spans="1:7" ht="12.75">
      <c r="A216" s="232">
        <v>2070</v>
      </c>
      <c r="B216" s="577"/>
      <c r="C216" s="578"/>
      <c r="D216" s="234"/>
      <c r="E216" s="577"/>
      <c r="F216" s="579"/>
      <c r="G216" s="231"/>
    </row>
    <row r="217" spans="1:7" ht="12.75">
      <c r="A217" s="232">
        <v>2071</v>
      </c>
      <c r="B217" s="577"/>
      <c r="C217" s="578"/>
      <c r="D217" s="234"/>
      <c r="E217" s="577"/>
      <c r="F217" s="579"/>
      <c r="G217" s="231"/>
    </row>
    <row r="218" spans="1:7" ht="12.75">
      <c r="A218" s="232">
        <v>2072</v>
      </c>
      <c r="B218" s="577"/>
      <c r="C218" s="578"/>
      <c r="D218" s="234"/>
      <c r="E218" s="577"/>
      <c r="F218" s="579"/>
      <c r="G218" s="231"/>
    </row>
    <row r="219" spans="1:7" ht="12.75">
      <c r="A219" s="232">
        <v>2073</v>
      </c>
      <c r="B219" s="577"/>
      <c r="C219" s="578"/>
      <c r="D219" s="234"/>
      <c r="E219" s="577"/>
      <c r="F219" s="579"/>
      <c r="G219" s="231"/>
    </row>
    <row r="220" spans="1:7" ht="12.75">
      <c r="A220" s="230">
        <v>2074</v>
      </c>
      <c r="B220" s="577"/>
      <c r="C220" s="578"/>
      <c r="D220" s="234"/>
      <c r="E220" s="577"/>
      <c r="F220" s="579"/>
      <c r="G220" s="231"/>
    </row>
    <row r="221" spans="1:7" ht="12.75">
      <c r="A221" s="230">
        <v>2075</v>
      </c>
      <c r="B221" s="577"/>
      <c r="C221" s="578"/>
      <c r="D221" s="234"/>
      <c r="E221" s="577"/>
      <c r="F221" s="579"/>
      <c r="G221" s="231"/>
    </row>
    <row r="222" spans="1:7" ht="12.75">
      <c r="A222" s="232">
        <v>2076</v>
      </c>
      <c r="B222" s="577"/>
      <c r="C222" s="578"/>
      <c r="D222" s="234"/>
      <c r="E222" s="577"/>
      <c r="F222" s="579"/>
      <c r="G222" s="231"/>
    </row>
    <row r="223" spans="1:7" ht="12.75">
      <c r="A223" s="232">
        <v>2077</v>
      </c>
      <c r="B223" s="577"/>
      <c r="C223" s="578"/>
      <c r="D223" s="234"/>
      <c r="E223" s="577"/>
      <c r="F223" s="579"/>
      <c r="G223" s="231"/>
    </row>
    <row r="224" spans="1:7" ht="12.75">
      <c r="A224" s="232">
        <v>2078</v>
      </c>
      <c r="B224" s="577"/>
      <c r="C224" s="578"/>
      <c r="D224" s="234"/>
      <c r="E224" s="577"/>
      <c r="F224" s="579"/>
      <c r="G224" s="231"/>
    </row>
    <row r="225" spans="1:7" ht="12.75">
      <c r="A225" s="232">
        <v>2079</v>
      </c>
      <c r="B225" s="577"/>
      <c r="C225" s="578"/>
      <c r="D225" s="234"/>
      <c r="E225" s="577"/>
      <c r="F225" s="579"/>
      <c r="G225" s="231"/>
    </row>
    <row r="226" spans="1:7" ht="12.75">
      <c r="A226" s="232">
        <v>2080</v>
      </c>
      <c r="B226" s="577"/>
      <c r="C226" s="578"/>
      <c r="D226" s="234"/>
      <c r="E226" s="577"/>
      <c r="F226" s="579"/>
      <c r="G226" s="231"/>
    </row>
    <row r="227" spans="1:7" ht="12.75">
      <c r="A227" s="230">
        <v>2081</v>
      </c>
      <c r="B227" s="577"/>
      <c r="C227" s="578"/>
      <c r="D227" s="234"/>
      <c r="E227" s="577"/>
      <c r="F227" s="579"/>
      <c r="G227" s="231"/>
    </row>
    <row r="228" spans="1:7" ht="12.75">
      <c r="A228" s="230">
        <v>2082</v>
      </c>
      <c r="B228" s="577"/>
      <c r="C228" s="578"/>
      <c r="D228" s="234"/>
      <c r="E228" s="577"/>
      <c r="F228" s="579"/>
      <c r="G228" s="231"/>
    </row>
    <row r="229" spans="1:7" ht="12.75">
      <c r="A229" s="232">
        <v>2083</v>
      </c>
      <c r="B229" s="577"/>
      <c r="C229" s="578"/>
      <c r="D229" s="234"/>
      <c r="E229" s="577"/>
      <c r="F229" s="579"/>
      <c r="G229" s="231"/>
    </row>
    <row r="230" spans="1:7" ht="12.75">
      <c r="A230" s="232">
        <v>2084</v>
      </c>
      <c r="B230" s="577"/>
      <c r="C230" s="578"/>
      <c r="D230" s="234"/>
      <c r="E230" s="577"/>
      <c r="F230" s="579"/>
      <c r="G230" s="231"/>
    </row>
    <row r="231" spans="1:7" ht="12.75">
      <c r="A231" s="232">
        <v>2085</v>
      </c>
      <c r="B231" s="577"/>
      <c r="C231" s="578"/>
      <c r="D231" s="234"/>
      <c r="E231" s="577"/>
      <c r="F231" s="579"/>
      <c r="G231" s="231"/>
    </row>
    <row r="232" spans="1:7" ht="12.75">
      <c r="A232" s="232">
        <v>2086</v>
      </c>
      <c r="B232" s="577"/>
      <c r="C232" s="578"/>
      <c r="D232" s="234"/>
      <c r="E232" s="577"/>
      <c r="F232" s="579"/>
      <c r="G232" s="231"/>
    </row>
    <row r="233" spans="1:7" ht="12.75">
      <c r="A233" s="232">
        <v>2087</v>
      </c>
      <c r="B233" s="577"/>
      <c r="C233" s="578"/>
      <c r="D233" s="234"/>
      <c r="E233" s="577"/>
      <c r="F233" s="579"/>
      <c r="G233" s="231"/>
    </row>
    <row r="234" spans="1:7" ht="12.75">
      <c r="A234" s="232">
        <v>2088</v>
      </c>
      <c r="B234" s="577"/>
      <c r="C234" s="578"/>
      <c r="D234" s="234"/>
      <c r="E234" s="577"/>
      <c r="F234" s="579"/>
      <c r="G234" s="231"/>
    </row>
    <row r="235" spans="1:7" ht="12.75">
      <c r="A235" s="232">
        <v>2089</v>
      </c>
      <c r="B235" s="577"/>
      <c r="C235" s="578"/>
      <c r="D235" s="234"/>
      <c r="E235" s="577"/>
      <c r="F235" s="579"/>
      <c r="G235" s="231"/>
    </row>
    <row r="236" spans="1:7" ht="12.75">
      <c r="A236" s="232">
        <v>2090</v>
      </c>
      <c r="B236" s="573"/>
      <c r="C236" s="574"/>
      <c r="D236" s="233"/>
      <c r="E236" s="573"/>
      <c r="F236" s="575"/>
      <c r="G236" s="231"/>
    </row>
    <row r="237" spans="1:7" ht="12.75">
      <c r="A237" s="576" t="s">
        <v>313</v>
      </c>
      <c r="B237" s="576"/>
      <c r="C237" s="576"/>
      <c r="D237" s="576"/>
      <c r="E237" s="576"/>
      <c r="F237" s="576"/>
      <c r="G237" s="576"/>
    </row>
  </sheetData>
  <sheetProtection/>
  <mergeCells count="307">
    <mergeCell ref="A1:G1"/>
    <mergeCell ref="A2:F2"/>
    <mergeCell ref="A3:G3"/>
    <mergeCell ref="A4:G4"/>
    <mergeCell ref="A5:G5"/>
    <mergeCell ref="A6:G6"/>
    <mergeCell ref="A7:G7"/>
    <mergeCell ref="A8:G8"/>
    <mergeCell ref="A9:D9"/>
    <mergeCell ref="A10:G10"/>
    <mergeCell ref="A11:G11"/>
    <mergeCell ref="A12:D13"/>
    <mergeCell ref="E12:E13"/>
    <mergeCell ref="F12:F13"/>
    <mergeCell ref="G12:G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9:D50"/>
    <mergeCell ref="E49:E50"/>
    <mergeCell ref="F49:F50"/>
    <mergeCell ref="G49:G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8:D68"/>
    <mergeCell ref="A70:D70"/>
    <mergeCell ref="A71:D71"/>
    <mergeCell ref="A73:D73"/>
    <mergeCell ref="A74:D74"/>
    <mergeCell ref="A76:D77"/>
    <mergeCell ref="E76:E77"/>
    <mergeCell ref="F76:F77"/>
    <mergeCell ref="G76:G77"/>
    <mergeCell ref="A82:D82"/>
    <mergeCell ref="A86:G86"/>
    <mergeCell ref="A87:D88"/>
    <mergeCell ref="E87:E88"/>
    <mergeCell ref="F87:F88"/>
    <mergeCell ref="G87:G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4:D125"/>
    <mergeCell ref="E124:E125"/>
    <mergeCell ref="F124:F125"/>
    <mergeCell ref="G124:G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3:D143"/>
    <mergeCell ref="A145:D146"/>
    <mergeCell ref="E145:E146"/>
    <mergeCell ref="F145:F146"/>
    <mergeCell ref="G145:G146"/>
    <mergeCell ref="A150:G150"/>
    <mergeCell ref="A152:F152"/>
    <mergeCell ref="A153:F153"/>
    <mergeCell ref="A154:F154"/>
    <mergeCell ref="A155:F155"/>
    <mergeCell ref="A156:F156"/>
    <mergeCell ref="A159:A161"/>
    <mergeCell ref="B159:C159"/>
    <mergeCell ref="E159:F159"/>
    <mergeCell ref="B160:C160"/>
    <mergeCell ref="E160:F160"/>
    <mergeCell ref="B161:C161"/>
    <mergeCell ref="E161:F161"/>
    <mergeCell ref="B162:C162"/>
    <mergeCell ref="E162:F162"/>
    <mergeCell ref="B163:C163"/>
    <mergeCell ref="E163:F163"/>
    <mergeCell ref="B164:C164"/>
    <mergeCell ref="E164:F164"/>
    <mergeCell ref="B165:C165"/>
    <mergeCell ref="E165:F165"/>
    <mergeCell ref="B166:C166"/>
    <mergeCell ref="E166:F166"/>
    <mergeCell ref="B167:C167"/>
    <mergeCell ref="E167:F167"/>
    <mergeCell ref="B168:C168"/>
    <mergeCell ref="E168:F168"/>
    <mergeCell ref="B169:C169"/>
    <mergeCell ref="E169:F169"/>
    <mergeCell ref="B170:C170"/>
    <mergeCell ref="E170:F170"/>
    <mergeCell ref="B171:C171"/>
    <mergeCell ref="E171:F171"/>
    <mergeCell ref="B172:C172"/>
    <mergeCell ref="E172:F172"/>
    <mergeCell ref="B173:C173"/>
    <mergeCell ref="E173:F173"/>
    <mergeCell ref="B174:C174"/>
    <mergeCell ref="E174:F174"/>
    <mergeCell ref="B175:C175"/>
    <mergeCell ref="E175:F175"/>
    <mergeCell ref="B176:C176"/>
    <mergeCell ref="E176:F176"/>
    <mergeCell ref="B177:C177"/>
    <mergeCell ref="E177:F177"/>
    <mergeCell ref="B178:C178"/>
    <mergeCell ref="E178:F178"/>
    <mergeCell ref="B179:C179"/>
    <mergeCell ref="E179:F179"/>
    <mergeCell ref="B180:C180"/>
    <mergeCell ref="E180:F180"/>
    <mergeCell ref="B181:C181"/>
    <mergeCell ref="E181:F181"/>
    <mergeCell ref="B182:C182"/>
    <mergeCell ref="E182:F182"/>
    <mergeCell ref="B183:C183"/>
    <mergeCell ref="E183:F183"/>
    <mergeCell ref="B184:C184"/>
    <mergeCell ref="E184:F184"/>
    <mergeCell ref="B185:C185"/>
    <mergeCell ref="E185:F185"/>
    <mergeCell ref="B186:C186"/>
    <mergeCell ref="E186:F186"/>
    <mergeCell ref="B187:C187"/>
    <mergeCell ref="E187:F187"/>
    <mergeCell ref="B188:C188"/>
    <mergeCell ref="E188:F188"/>
    <mergeCell ref="B189:C189"/>
    <mergeCell ref="E189:F189"/>
    <mergeCell ref="B190:C190"/>
    <mergeCell ref="E190:F190"/>
    <mergeCell ref="B191:C191"/>
    <mergeCell ref="E191:F191"/>
    <mergeCell ref="B192:C192"/>
    <mergeCell ref="E192:F192"/>
    <mergeCell ref="B193:C193"/>
    <mergeCell ref="E193:F193"/>
    <mergeCell ref="B194:C194"/>
    <mergeCell ref="E194:F194"/>
    <mergeCell ref="B195:C195"/>
    <mergeCell ref="E195:F195"/>
    <mergeCell ref="B196:C196"/>
    <mergeCell ref="E196:F196"/>
    <mergeCell ref="B197:C197"/>
    <mergeCell ref="E197:F197"/>
    <mergeCell ref="B198:C198"/>
    <mergeCell ref="E198:F198"/>
    <mergeCell ref="B199:C199"/>
    <mergeCell ref="E199:F199"/>
    <mergeCell ref="B200:C200"/>
    <mergeCell ref="E200:F200"/>
    <mergeCell ref="B201:C201"/>
    <mergeCell ref="E201:F201"/>
    <mergeCell ref="B202:C202"/>
    <mergeCell ref="E202:F202"/>
    <mergeCell ref="B203:C203"/>
    <mergeCell ref="E203:F203"/>
    <mergeCell ref="B204:C204"/>
    <mergeCell ref="E204:F204"/>
    <mergeCell ref="B205:C205"/>
    <mergeCell ref="E205:F205"/>
    <mergeCell ref="B206:C206"/>
    <mergeCell ref="E206:F206"/>
    <mergeCell ref="B207:C207"/>
    <mergeCell ref="E207:F207"/>
    <mergeCell ref="B208:C208"/>
    <mergeCell ref="E208:F208"/>
    <mergeCell ref="B209:C209"/>
    <mergeCell ref="E209:F209"/>
    <mergeCell ref="B210:C210"/>
    <mergeCell ref="E210:F210"/>
    <mergeCell ref="B211:C211"/>
    <mergeCell ref="E211:F211"/>
    <mergeCell ref="B212:C212"/>
    <mergeCell ref="E212:F212"/>
    <mergeCell ref="B213:C213"/>
    <mergeCell ref="E213:F213"/>
    <mergeCell ref="B214:C214"/>
    <mergeCell ref="E214:F214"/>
    <mergeCell ref="B215:C215"/>
    <mergeCell ref="E215:F215"/>
    <mergeCell ref="B216:C216"/>
    <mergeCell ref="E216:F216"/>
    <mergeCell ref="B217:C217"/>
    <mergeCell ref="E217:F217"/>
    <mergeCell ref="B218:C218"/>
    <mergeCell ref="E218:F218"/>
    <mergeCell ref="B219:C219"/>
    <mergeCell ref="E219:F219"/>
    <mergeCell ref="B220:C220"/>
    <mergeCell ref="E220:F220"/>
    <mergeCell ref="B221:C221"/>
    <mergeCell ref="E221:F221"/>
    <mergeCell ref="B222:C222"/>
    <mergeCell ref="E222:F222"/>
    <mergeCell ref="B223:C223"/>
    <mergeCell ref="E223:F223"/>
    <mergeCell ref="B224:C224"/>
    <mergeCell ref="E224:F224"/>
    <mergeCell ref="B225:C225"/>
    <mergeCell ref="E225:F225"/>
    <mergeCell ref="B226:C226"/>
    <mergeCell ref="E226:F226"/>
    <mergeCell ref="B227:C227"/>
    <mergeCell ref="E227:F227"/>
    <mergeCell ref="B228:C228"/>
    <mergeCell ref="E228:F228"/>
    <mergeCell ref="B229:C229"/>
    <mergeCell ref="E229:F229"/>
    <mergeCell ref="B230:C230"/>
    <mergeCell ref="E230:F230"/>
    <mergeCell ref="B231:C231"/>
    <mergeCell ref="E231:F231"/>
    <mergeCell ref="B232:C232"/>
    <mergeCell ref="E232:F232"/>
    <mergeCell ref="B236:C236"/>
    <mergeCell ref="E236:F236"/>
    <mergeCell ref="A237:G237"/>
    <mergeCell ref="B233:C233"/>
    <mergeCell ref="E233:F233"/>
    <mergeCell ref="B234:C234"/>
    <mergeCell ref="E234:F234"/>
    <mergeCell ref="B235:C235"/>
    <mergeCell ref="E235:F23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F17"/>
  <sheetViews>
    <sheetView showGridLines="0" zoomScale="115" zoomScaleNormal="115" zoomScalePageLayoutView="0" workbookViewId="0" topLeftCell="A1">
      <selection activeCell="A30" sqref="A30:E30"/>
    </sheetView>
  </sheetViews>
  <sheetFormatPr defaultColWidth="9.140625" defaultRowHeight="12.75"/>
  <cols>
    <col min="1" max="1" width="22.421875" style="0" customWidth="1"/>
    <col min="2" max="2" width="15.57421875" style="0" customWidth="1"/>
    <col min="3" max="6" width="12.8515625" style="0" customWidth="1"/>
  </cols>
  <sheetData>
    <row r="1" spans="1:6" ht="12.75">
      <c r="A1" s="504" t="s">
        <v>102</v>
      </c>
      <c r="B1" s="505"/>
      <c r="C1" s="505"/>
      <c r="D1" s="505"/>
      <c r="E1" s="505"/>
      <c r="F1" s="506"/>
    </row>
    <row r="2" spans="1:6" ht="12.75">
      <c r="A2" s="504"/>
      <c r="B2" s="505"/>
      <c r="C2" s="505"/>
      <c r="D2" s="505"/>
      <c r="E2" s="505"/>
      <c r="F2" s="506"/>
    </row>
    <row r="3" spans="1:6" ht="12.75">
      <c r="A3" s="504" t="s">
        <v>106</v>
      </c>
      <c r="B3" s="505"/>
      <c r="C3" s="505"/>
      <c r="D3" s="505"/>
      <c r="E3" s="505"/>
      <c r="F3" s="506"/>
    </row>
    <row r="4" spans="1:6" ht="12.75">
      <c r="A4" s="504" t="s">
        <v>129</v>
      </c>
      <c r="B4" s="505"/>
      <c r="C4" s="505"/>
      <c r="D4" s="505"/>
      <c r="E4" s="505"/>
      <c r="F4" s="506"/>
    </row>
    <row r="5" spans="1:6" ht="12.75">
      <c r="A5" s="504" t="s">
        <v>7</v>
      </c>
      <c r="B5" s="505"/>
      <c r="C5" s="505"/>
      <c r="D5" s="505"/>
      <c r="E5" s="505"/>
      <c r="F5" s="506"/>
    </row>
    <row r="6" spans="1:6" ht="12.75">
      <c r="A6" s="507" t="s">
        <v>64</v>
      </c>
      <c r="B6" s="508"/>
      <c r="C6" s="508"/>
      <c r="D6" s="508"/>
      <c r="E6" s="508"/>
      <c r="F6" s="509"/>
    </row>
    <row r="7" spans="1:6" ht="12.75">
      <c r="A7" s="504" t="s">
        <v>128</v>
      </c>
      <c r="B7" s="505"/>
      <c r="C7" s="505"/>
      <c r="D7" s="505"/>
      <c r="E7" s="505"/>
      <c r="F7" s="506"/>
    </row>
    <row r="8" spans="1:6" ht="12.75">
      <c r="A8" s="504"/>
      <c r="B8" s="505"/>
      <c r="C8" s="505"/>
      <c r="D8" s="505"/>
      <c r="E8" s="505"/>
      <c r="F8" s="506"/>
    </row>
    <row r="9" spans="1:6" ht="15.75">
      <c r="A9" s="31" t="s">
        <v>65</v>
      </c>
      <c r="B9" s="651"/>
      <c r="C9" s="651"/>
      <c r="D9" s="651"/>
      <c r="E9" s="651"/>
      <c r="F9" s="51">
        <v>1</v>
      </c>
    </row>
    <row r="10" spans="1:6" s="6" customFormat="1" ht="12.75">
      <c r="A10" s="526" t="s">
        <v>66</v>
      </c>
      <c r="B10" s="525" t="s">
        <v>67</v>
      </c>
      <c r="C10" s="652"/>
      <c r="D10" s="652"/>
      <c r="E10" s="526"/>
      <c r="F10" s="525" t="s">
        <v>68</v>
      </c>
    </row>
    <row r="11" spans="1:6" s="6" customFormat="1" ht="12.75">
      <c r="A11" s="656"/>
      <c r="B11" s="527"/>
      <c r="C11" s="653"/>
      <c r="D11" s="653"/>
      <c r="E11" s="528"/>
      <c r="F11" s="657"/>
    </row>
    <row r="12" spans="1:6" ht="15.75" customHeight="1">
      <c r="A12" s="528"/>
      <c r="B12" s="32" t="s">
        <v>69</v>
      </c>
      <c r="C12" s="33" t="s">
        <v>127</v>
      </c>
      <c r="D12" s="33" t="s">
        <v>108</v>
      </c>
      <c r="E12" s="33" t="s">
        <v>109</v>
      </c>
      <c r="F12" s="527"/>
    </row>
    <row r="13" spans="1:6" ht="15.75">
      <c r="A13" s="14" t="s">
        <v>95</v>
      </c>
      <c r="B13" s="14"/>
      <c r="C13" s="14"/>
      <c r="D13" s="14"/>
      <c r="E13" s="14"/>
      <c r="F13" s="654"/>
    </row>
    <row r="14" spans="1:6" ht="15.75">
      <c r="A14" s="14"/>
      <c r="B14" s="14"/>
      <c r="C14" s="14"/>
      <c r="D14" s="14"/>
      <c r="E14" s="14"/>
      <c r="F14" s="655"/>
    </row>
    <row r="15" spans="1:6" ht="15.75">
      <c r="A15" s="17"/>
      <c r="B15" s="17"/>
      <c r="C15" s="17"/>
      <c r="D15" s="17"/>
      <c r="E15" s="17"/>
      <c r="F15" s="18"/>
    </row>
    <row r="16" spans="1:6" ht="15.75">
      <c r="A16" s="658" t="s">
        <v>92</v>
      </c>
      <c r="B16" s="659"/>
      <c r="C16" s="17"/>
      <c r="D16" s="17"/>
      <c r="E16" s="17"/>
      <c r="F16" s="34" t="s">
        <v>62</v>
      </c>
    </row>
    <row r="17" spans="1:6" ht="12.75">
      <c r="A17" s="496" t="s">
        <v>91</v>
      </c>
      <c r="B17" s="496"/>
      <c r="C17" s="496"/>
      <c r="D17" s="496"/>
      <c r="E17" s="496"/>
      <c r="F17" s="496"/>
    </row>
  </sheetData>
  <sheetProtection/>
  <mergeCells count="15">
    <mergeCell ref="A17:F17"/>
    <mergeCell ref="A8:F8"/>
    <mergeCell ref="A7:F7"/>
    <mergeCell ref="A6:F6"/>
    <mergeCell ref="A16:B16"/>
    <mergeCell ref="B9:E9"/>
    <mergeCell ref="B10:E11"/>
    <mergeCell ref="F13:F14"/>
    <mergeCell ref="A10:A12"/>
    <mergeCell ref="F10:F12"/>
    <mergeCell ref="A1:F1"/>
    <mergeCell ref="A5:F5"/>
    <mergeCell ref="A4:F4"/>
    <mergeCell ref="A3:F3"/>
    <mergeCell ref="A2:F2"/>
  </mergeCells>
  <printOptions/>
  <pageMargins left="0.787401575" right="0.787401575" top="1.534251969" bottom="0.984251969" header="0.5" footer="0.5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F29"/>
  <sheetViews>
    <sheetView showGridLines="0" tabSelected="1" zoomScalePageLayoutView="0" workbookViewId="0" topLeftCell="A6">
      <selection activeCell="A26" sqref="A26:B26"/>
    </sheetView>
  </sheetViews>
  <sheetFormatPr defaultColWidth="9.140625" defaultRowHeight="12.75"/>
  <cols>
    <col min="1" max="1" width="52.57421875" style="77" customWidth="1"/>
    <col min="2" max="2" width="52.421875" style="77" customWidth="1"/>
    <col min="3" max="3" width="13.421875" style="330" bestFit="1" customWidth="1"/>
    <col min="4" max="4" width="16.57421875" style="77" bestFit="1" customWidth="1"/>
    <col min="5" max="5" width="14.00390625" style="330" bestFit="1" customWidth="1"/>
    <col min="6" max="6" width="12.8515625" style="77" bestFit="1" customWidth="1"/>
    <col min="7" max="16384" width="9.140625" style="77" customWidth="1"/>
  </cols>
  <sheetData>
    <row r="1" spans="1:2" ht="12.75">
      <c r="A1" s="663" t="s">
        <v>101</v>
      </c>
      <c r="B1" s="664"/>
    </row>
    <row r="2" spans="1:2" ht="12.75" customHeight="1">
      <c r="A2" s="663"/>
      <c r="B2" s="664"/>
    </row>
    <row r="3" spans="1:2" ht="12.75">
      <c r="A3" s="663" t="s">
        <v>106</v>
      </c>
      <c r="B3" s="664"/>
    </row>
    <row r="4" spans="1:2" ht="12.75">
      <c r="A4" s="663" t="s">
        <v>130</v>
      </c>
      <c r="B4" s="664"/>
    </row>
    <row r="5" spans="1:2" ht="12.75">
      <c r="A5" s="663" t="s">
        <v>7</v>
      </c>
      <c r="B5" s="664"/>
    </row>
    <row r="6" spans="1:2" ht="12.75">
      <c r="A6" s="667" t="s">
        <v>70</v>
      </c>
      <c r="B6" s="668"/>
    </row>
    <row r="7" spans="1:2" ht="12.75">
      <c r="A7" s="663" t="s">
        <v>128</v>
      </c>
      <c r="B7" s="664"/>
    </row>
    <row r="8" spans="1:5" ht="12.75">
      <c r="A8" s="663"/>
      <c r="B8" s="664"/>
      <c r="E8" s="76"/>
    </row>
    <row r="9" spans="1:6" ht="12.75">
      <c r="A9" s="331" t="s">
        <v>65</v>
      </c>
      <c r="B9" s="332">
        <v>1</v>
      </c>
      <c r="D9" s="330"/>
      <c r="E9" s="76"/>
      <c r="F9" s="333"/>
    </row>
    <row r="10" spans="1:5" s="337" customFormat="1" ht="25.5" customHeight="1">
      <c r="A10" s="334" t="s">
        <v>71</v>
      </c>
      <c r="B10" s="335" t="s">
        <v>405</v>
      </c>
      <c r="C10" s="336"/>
      <c r="E10" s="336"/>
    </row>
    <row r="11" spans="1:4" ht="12.75">
      <c r="A11" s="338" t="s">
        <v>72</v>
      </c>
      <c r="B11" s="339">
        <f>1388558*1.0907</f>
        <v>1514500.2106</v>
      </c>
      <c r="D11" s="333"/>
    </row>
    <row r="12" spans="1:6" ht="12.75">
      <c r="A12" s="338" t="s">
        <v>63</v>
      </c>
      <c r="B12" s="340">
        <v>0</v>
      </c>
      <c r="F12" s="341"/>
    </row>
    <row r="13" spans="1:5" ht="12.75">
      <c r="A13" s="342" t="s">
        <v>103</v>
      </c>
      <c r="B13" s="343">
        <v>0</v>
      </c>
      <c r="E13" s="344"/>
    </row>
    <row r="14" spans="1:5" ht="12.75">
      <c r="A14" s="342" t="s">
        <v>73</v>
      </c>
      <c r="B14" s="345">
        <f>+B11-B13</f>
        <v>1514500.2106</v>
      </c>
      <c r="E14" s="344"/>
    </row>
    <row r="15" spans="1:6" ht="12.75">
      <c r="A15" s="342" t="s">
        <v>404</v>
      </c>
      <c r="B15" s="345">
        <v>1459200</v>
      </c>
      <c r="F15" s="330"/>
    </row>
    <row r="16" spans="1:6" ht="12.75">
      <c r="A16" s="342" t="s">
        <v>74</v>
      </c>
      <c r="B16" s="345">
        <f>+B14+B15</f>
        <v>2973700.2106</v>
      </c>
      <c r="F16" s="330"/>
    </row>
    <row r="17" spans="1:6" ht="12.75">
      <c r="A17" s="338" t="s">
        <v>29</v>
      </c>
      <c r="B17" s="340">
        <v>0</v>
      </c>
      <c r="F17" s="330"/>
    </row>
    <row r="18" spans="1:6" ht="12.75">
      <c r="A18" s="342" t="s">
        <v>75</v>
      </c>
      <c r="B18" s="345">
        <v>0</v>
      </c>
      <c r="F18" s="333"/>
    </row>
    <row r="19" spans="1:2" ht="12.75">
      <c r="A19" s="346" t="s">
        <v>28</v>
      </c>
      <c r="B19" s="347">
        <f>+B16-B17-B18</f>
        <v>2973700.2106</v>
      </c>
    </row>
    <row r="20" spans="1:2" ht="12.75">
      <c r="A20" s="665" t="s">
        <v>408</v>
      </c>
      <c r="B20" s="665"/>
    </row>
    <row r="21" spans="1:2" ht="12.75">
      <c r="A21" s="666"/>
      <c r="B21" s="666"/>
    </row>
    <row r="22" spans="1:2" ht="12.75">
      <c r="A22" s="661" t="s">
        <v>407</v>
      </c>
      <c r="B22" s="661"/>
    </row>
    <row r="23" spans="1:2" ht="12.75">
      <c r="A23" s="661"/>
      <c r="B23" s="661"/>
    </row>
    <row r="24" spans="1:2" ht="55.5" customHeight="1">
      <c r="A24" s="661"/>
      <c r="B24" s="661"/>
    </row>
    <row r="26" spans="1:2" ht="12.75">
      <c r="A26" s="662" t="s">
        <v>409</v>
      </c>
      <c r="B26" s="662"/>
    </row>
    <row r="28" spans="1:2" ht="12.75">
      <c r="A28" s="660" t="s">
        <v>389</v>
      </c>
      <c r="B28" s="660"/>
    </row>
    <row r="29" spans="1:2" ht="12.75">
      <c r="A29" s="660" t="s">
        <v>406</v>
      </c>
      <c r="B29" s="660"/>
    </row>
  </sheetData>
  <sheetProtection/>
  <mergeCells count="13">
    <mergeCell ref="A1:B1"/>
    <mergeCell ref="A2:B2"/>
    <mergeCell ref="A3:B3"/>
    <mergeCell ref="A5:B5"/>
    <mergeCell ref="A4:B4"/>
    <mergeCell ref="A6:B6"/>
    <mergeCell ref="A29:B29"/>
    <mergeCell ref="A22:B24"/>
    <mergeCell ref="A26:B26"/>
    <mergeCell ref="A28:B28"/>
    <mergeCell ref="A7:B7"/>
    <mergeCell ref="A8:B8"/>
    <mergeCell ref="A20:B21"/>
  </mergeCells>
  <printOptions horizontalCentered="1"/>
  <pageMargins left="0.7874015748031497" right="0.7874015748031497" top="0.7480314960629921" bottom="0.7874015748031497" header="0.5118110236220472" footer="0.5118110236220472"/>
  <pageSetup horizontalDpi="600" verticalDpi="600" orientation="landscape" paperSize="9" scale="11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D40"/>
  <sheetViews>
    <sheetView zoomScalePageLayoutView="0" workbookViewId="0" topLeftCell="A1">
      <selection activeCell="A30" sqref="A30:E30"/>
    </sheetView>
  </sheetViews>
  <sheetFormatPr defaultColWidth="32.28125" defaultRowHeight="12.75"/>
  <cols>
    <col min="1" max="1" width="35.8515625" style="176" customWidth="1"/>
    <col min="2" max="4" width="18.7109375" style="176" customWidth="1"/>
    <col min="5" max="16384" width="32.28125" style="176" customWidth="1"/>
  </cols>
  <sheetData>
    <row r="1" spans="1:4" ht="12.75">
      <c r="A1" s="675" t="s">
        <v>141</v>
      </c>
      <c r="B1" s="675"/>
      <c r="C1" s="675"/>
      <c r="D1" s="675"/>
    </row>
    <row r="2" spans="1:4" ht="15.75">
      <c r="A2" s="674" t="s">
        <v>166</v>
      </c>
      <c r="B2" s="674"/>
      <c r="C2" s="674"/>
      <c r="D2" s="674"/>
    </row>
    <row r="3" spans="1:4" ht="12.75">
      <c r="A3" s="675" t="s">
        <v>142</v>
      </c>
      <c r="B3" s="675"/>
      <c r="C3" s="675"/>
      <c r="D3" s="675"/>
    </row>
    <row r="4" spans="1:4" ht="12.75">
      <c r="A4" s="675" t="s">
        <v>143</v>
      </c>
      <c r="B4" s="675"/>
      <c r="C4" s="675"/>
      <c r="D4" s="675"/>
    </row>
    <row r="5" spans="1:4" ht="12.75">
      <c r="A5" s="676" t="s">
        <v>144</v>
      </c>
      <c r="B5" s="676"/>
      <c r="C5" s="676"/>
      <c r="D5" s="676"/>
    </row>
    <row r="6" spans="1:4" ht="12.75">
      <c r="A6" s="677" t="s">
        <v>145</v>
      </c>
      <c r="B6" s="677"/>
      <c r="C6" s="678">
        <v>1</v>
      </c>
      <c r="D6" s="678"/>
    </row>
    <row r="7" spans="1:4" ht="12.75">
      <c r="A7" s="670" t="s">
        <v>146</v>
      </c>
      <c r="B7" s="670"/>
      <c r="C7" s="670" t="s">
        <v>147</v>
      </c>
      <c r="D7" s="670"/>
    </row>
    <row r="8" spans="1:4" ht="12.75">
      <c r="A8" s="165" t="s">
        <v>148</v>
      </c>
      <c r="B8" s="165" t="s">
        <v>10</v>
      </c>
      <c r="C8" s="165" t="s">
        <v>148</v>
      </c>
      <c r="D8" s="165" t="s">
        <v>10</v>
      </c>
    </row>
    <row r="9" spans="1:4" ht="12.75">
      <c r="A9" s="166" t="s">
        <v>149</v>
      </c>
      <c r="B9" s="167"/>
      <c r="C9" s="168"/>
      <c r="D9" s="167"/>
    </row>
    <row r="10" spans="1:4" ht="12.75">
      <c r="A10" s="166" t="s">
        <v>150</v>
      </c>
      <c r="B10" s="167"/>
      <c r="C10" s="168"/>
      <c r="D10" s="167"/>
    </row>
    <row r="11" spans="1:4" ht="12.75">
      <c r="A11" s="166" t="s">
        <v>151</v>
      </c>
      <c r="B11" s="167"/>
      <c r="C11" s="168"/>
      <c r="D11" s="167"/>
    </row>
    <row r="12" spans="1:4" ht="11.25" customHeight="1">
      <c r="A12" s="166" t="s">
        <v>152</v>
      </c>
      <c r="B12" s="167">
        <v>119111.28</v>
      </c>
      <c r="C12" s="168" t="s">
        <v>398</v>
      </c>
      <c r="D12" s="167">
        <v>119111.28</v>
      </c>
    </row>
    <row r="13" spans="1:4" ht="12.75">
      <c r="A13" s="166" t="s">
        <v>153</v>
      </c>
      <c r="B13" s="167"/>
      <c r="C13" s="168"/>
      <c r="D13" s="167"/>
    </row>
    <row r="14" spans="1:4" ht="22.5">
      <c r="A14" s="166" t="s">
        <v>154</v>
      </c>
      <c r="B14" s="167">
        <v>4961100.04</v>
      </c>
      <c r="C14" s="168" t="s">
        <v>397</v>
      </c>
      <c r="D14" s="167">
        <v>4961100.04</v>
      </c>
    </row>
    <row r="15" spans="1:4" ht="12.75">
      <c r="A15" s="169" t="s">
        <v>155</v>
      </c>
      <c r="B15" s="170">
        <f>SUM(B9:B14)</f>
        <v>5080211.32</v>
      </c>
      <c r="C15" s="171" t="s">
        <v>155</v>
      </c>
      <c r="D15" s="170">
        <f>SUM(D9:D14)</f>
        <v>5080211.32</v>
      </c>
    </row>
    <row r="16" spans="1:4" ht="12.75">
      <c r="A16" s="671"/>
      <c r="B16" s="671"/>
      <c r="C16" s="672"/>
      <c r="D16" s="670"/>
    </row>
    <row r="17" spans="1:4" ht="12.75">
      <c r="A17" s="673" t="s">
        <v>156</v>
      </c>
      <c r="B17" s="673"/>
      <c r="C17" s="670" t="s">
        <v>147</v>
      </c>
      <c r="D17" s="670"/>
    </row>
    <row r="18" spans="1:4" ht="12.75">
      <c r="A18" s="165" t="s">
        <v>148</v>
      </c>
      <c r="B18" s="165" t="s">
        <v>10</v>
      </c>
      <c r="C18" s="165" t="s">
        <v>148</v>
      </c>
      <c r="D18" s="165" t="s">
        <v>10</v>
      </c>
    </row>
    <row r="19" spans="1:4" ht="12.75">
      <c r="A19" s="171" t="s">
        <v>157</v>
      </c>
      <c r="B19" s="172"/>
      <c r="C19" s="172"/>
      <c r="D19" s="172"/>
    </row>
    <row r="20" spans="1:4" ht="12.75">
      <c r="A20" s="171" t="s">
        <v>158</v>
      </c>
      <c r="B20" s="172"/>
      <c r="C20" s="172"/>
      <c r="D20" s="172"/>
    </row>
    <row r="21" spans="1:4" ht="12.75">
      <c r="A21" s="171" t="s">
        <v>159</v>
      </c>
      <c r="B21" s="172"/>
      <c r="C21" s="172"/>
      <c r="D21" s="172"/>
    </row>
    <row r="22" spans="1:4" ht="12.75">
      <c r="A22" s="171" t="s">
        <v>160</v>
      </c>
      <c r="B22" s="172"/>
      <c r="C22" s="172"/>
      <c r="D22" s="172"/>
    </row>
    <row r="23" spans="1:4" ht="12.75">
      <c r="A23" s="171" t="s">
        <v>155</v>
      </c>
      <c r="B23" s="172"/>
      <c r="C23" s="171" t="s">
        <v>155</v>
      </c>
      <c r="D23" s="172"/>
    </row>
    <row r="24" spans="1:4" ht="12.75">
      <c r="A24" s="171" t="s">
        <v>92</v>
      </c>
      <c r="B24" s="173">
        <f>+B15</f>
        <v>5080211.32</v>
      </c>
      <c r="C24" s="171" t="s">
        <v>92</v>
      </c>
      <c r="D24" s="173">
        <f>+D15</f>
        <v>5080211.32</v>
      </c>
    </row>
    <row r="25" spans="1:4" ht="12.75">
      <c r="A25" s="174" t="s">
        <v>91</v>
      </c>
      <c r="B25" s="175"/>
      <c r="C25" s="175"/>
      <c r="D25" s="175"/>
    </row>
    <row r="27" ht="12.75">
      <c r="A27" s="176" t="s">
        <v>161</v>
      </c>
    </row>
    <row r="28" spans="1:4" ht="12.75">
      <c r="A28" s="177" t="s">
        <v>162</v>
      </c>
      <c r="B28" s="177"/>
      <c r="C28" s="177"/>
      <c r="D28" s="177"/>
    </row>
    <row r="29" spans="1:4" ht="10.5" customHeight="1">
      <c r="A29" s="669" t="s">
        <v>163</v>
      </c>
      <c r="B29" s="669"/>
      <c r="C29" s="669"/>
      <c r="D29" s="669"/>
    </row>
    <row r="30" spans="1:4" ht="12" customHeight="1">
      <c r="A30" s="669" t="s">
        <v>164</v>
      </c>
      <c r="B30" s="669"/>
      <c r="C30" s="669"/>
      <c r="D30" s="669"/>
    </row>
    <row r="31" ht="12.75">
      <c r="A31" s="177"/>
    </row>
    <row r="34" ht="12.75">
      <c r="A34" s="176" t="str">
        <f>+'Quadro de Receitas'!A30:E30</f>
        <v>Acari-RN,  19 de junho de 2017.</v>
      </c>
    </row>
    <row r="39" spans="1:4" ht="12.75">
      <c r="A39" s="158" t="str">
        <f>'Montante da Dívida'!A27:E27</f>
        <v>ISAIAS DE MEDEIROS CABRAL</v>
      </c>
      <c r="C39" s="367" t="str">
        <f>'Montante da Dívida'!H27</f>
        <v>PAULO ROBERTO LEITE BULHOES</v>
      </c>
      <c r="D39" s="367"/>
    </row>
    <row r="40" spans="1:4" ht="12.75">
      <c r="A40" s="158" t="s">
        <v>165</v>
      </c>
      <c r="C40" s="367" t="str">
        <f>+'Quadro de Receitas'!I34</f>
        <v>Secretário Municipal de Administração</v>
      </c>
      <c r="D40" s="367"/>
    </row>
  </sheetData>
  <sheetProtection/>
  <mergeCells count="17">
    <mergeCell ref="A2:D2"/>
    <mergeCell ref="A1:D1"/>
    <mergeCell ref="A3:D3"/>
    <mergeCell ref="A4:D4"/>
    <mergeCell ref="A5:D5"/>
    <mergeCell ref="A6:B6"/>
    <mergeCell ref="C6:D6"/>
    <mergeCell ref="A29:D29"/>
    <mergeCell ref="A30:D30"/>
    <mergeCell ref="C39:D39"/>
    <mergeCell ref="C40:D40"/>
    <mergeCell ref="A7:B7"/>
    <mergeCell ref="C7:D7"/>
    <mergeCell ref="A16:B16"/>
    <mergeCell ref="C16:D16"/>
    <mergeCell ref="A17:B17"/>
    <mergeCell ref="C17:D1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190"/>
  <sheetViews>
    <sheetView zoomScalePageLayoutView="0" workbookViewId="0" topLeftCell="A1">
      <selection activeCell="E182" sqref="E182:F185"/>
    </sheetView>
  </sheetViews>
  <sheetFormatPr defaultColWidth="9.140625" defaultRowHeight="12.75"/>
  <sheetData>
    <row r="1" spans="1:10" ht="12.75">
      <c r="A1" s="176"/>
      <c r="B1" s="176"/>
      <c r="C1" s="349" t="s">
        <v>141</v>
      </c>
      <c r="D1" s="349"/>
      <c r="E1" s="349"/>
      <c r="F1" s="349"/>
      <c r="G1" s="349"/>
      <c r="H1" s="176"/>
      <c r="I1" s="176"/>
      <c r="J1" s="176"/>
    </row>
    <row r="2" spans="1:10" ht="15.75">
      <c r="A2" s="176"/>
      <c r="B2" s="251"/>
      <c r="C2" s="348" t="s">
        <v>270</v>
      </c>
      <c r="D2" s="348"/>
      <c r="E2" s="348"/>
      <c r="F2" s="348"/>
      <c r="G2" s="348"/>
      <c r="H2" s="321"/>
      <c r="I2" s="251"/>
      <c r="J2" s="176"/>
    </row>
    <row r="3" spans="1:10" ht="12.75">
      <c r="A3" s="176"/>
      <c r="B3" s="176"/>
      <c r="C3" s="349" t="s">
        <v>142</v>
      </c>
      <c r="D3" s="349"/>
      <c r="E3" s="349"/>
      <c r="F3" s="349"/>
      <c r="G3" s="349"/>
      <c r="H3" s="176"/>
      <c r="I3" s="176"/>
      <c r="J3" s="176"/>
    </row>
    <row r="4" spans="1:10" ht="12.75">
      <c r="A4" s="176"/>
      <c r="B4" s="176"/>
      <c r="C4" s="349" t="s">
        <v>246</v>
      </c>
      <c r="D4" s="349"/>
      <c r="E4" s="349"/>
      <c r="F4" s="349"/>
      <c r="G4" s="349"/>
      <c r="H4" s="349"/>
      <c r="I4" s="349"/>
      <c r="J4" s="176"/>
    </row>
    <row r="5" spans="1:10" ht="12.75">
      <c r="A5" s="176"/>
      <c r="B5" s="176"/>
      <c r="C5" s="349" t="s">
        <v>247</v>
      </c>
      <c r="D5" s="349"/>
      <c r="E5" s="349"/>
      <c r="F5" s="349"/>
      <c r="G5" s="349"/>
      <c r="H5" s="176"/>
      <c r="I5" s="176"/>
      <c r="J5" s="176"/>
    </row>
    <row r="6" spans="1:10" ht="12.75">
      <c r="A6" s="176"/>
      <c r="B6" s="176"/>
      <c r="C6" s="349" t="s">
        <v>248</v>
      </c>
      <c r="D6" s="349"/>
      <c r="E6" s="349"/>
      <c r="F6" s="349"/>
      <c r="G6" s="349"/>
      <c r="H6" s="176"/>
      <c r="I6" s="176"/>
      <c r="J6" s="176"/>
    </row>
    <row r="7" spans="1:10" ht="12.75">
      <c r="A7" s="252"/>
      <c r="B7" s="252"/>
      <c r="C7" s="252"/>
      <c r="D7" s="252"/>
      <c r="E7" s="252"/>
      <c r="F7" s="252"/>
      <c r="G7" s="252"/>
      <c r="H7" s="252"/>
      <c r="I7" s="252"/>
      <c r="J7" s="176"/>
    </row>
    <row r="8" spans="1:10" ht="12.75">
      <c r="A8" s="368" t="s">
        <v>271</v>
      </c>
      <c r="B8" s="368"/>
      <c r="C8" s="176"/>
      <c r="D8" s="176"/>
      <c r="E8" s="176"/>
      <c r="F8" s="176"/>
      <c r="G8" s="176"/>
      <c r="H8" s="176"/>
      <c r="I8" s="176"/>
      <c r="J8" s="176"/>
    </row>
    <row r="9" spans="1:10" ht="12.75">
      <c r="A9" s="176"/>
      <c r="B9" s="176"/>
      <c r="C9" s="176"/>
      <c r="D9" s="176"/>
      <c r="E9" s="176"/>
      <c r="F9" s="176"/>
      <c r="G9" s="176"/>
      <c r="H9" s="176"/>
      <c r="I9" s="176"/>
      <c r="J9" s="176"/>
    </row>
    <row r="10" spans="1:10" ht="12.75">
      <c r="A10" s="369" t="s">
        <v>272</v>
      </c>
      <c r="B10" s="370"/>
      <c r="C10" s="369" t="s">
        <v>273</v>
      </c>
      <c r="D10" s="370"/>
      <c r="E10" s="369" t="s">
        <v>274</v>
      </c>
      <c r="F10" s="370"/>
      <c r="G10" s="176"/>
      <c r="H10" s="176"/>
      <c r="I10" s="176"/>
      <c r="J10" s="176"/>
    </row>
    <row r="11" spans="1:10" ht="12.75">
      <c r="A11" s="369">
        <v>2015</v>
      </c>
      <c r="B11" s="370"/>
      <c r="C11" s="371">
        <f>+'Quadro de Receitas'!E11</f>
        <v>518252.21</v>
      </c>
      <c r="D11" s="372"/>
      <c r="E11" s="373"/>
      <c r="F11" s="374"/>
      <c r="G11" s="176"/>
      <c r="H11" s="176"/>
      <c r="I11" s="176"/>
      <c r="J11" s="176"/>
    </row>
    <row r="12" spans="1:10" ht="12.75">
      <c r="A12" s="375">
        <v>2016</v>
      </c>
      <c r="B12" s="376"/>
      <c r="C12" s="377">
        <f>+'Quadro de Receitas'!F11</f>
        <v>581438.51</v>
      </c>
      <c r="D12" s="378"/>
      <c r="E12" s="379">
        <f>(C12/(C11/100))-100</f>
        <v>12.19219113411981</v>
      </c>
      <c r="F12" s="380"/>
      <c r="G12" s="176"/>
      <c r="H12" s="176"/>
      <c r="I12" s="176"/>
      <c r="J12" s="176"/>
    </row>
    <row r="13" spans="1:10" ht="12.75">
      <c r="A13" s="375">
        <v>2017</v>
      </c>
      <c r="B13" s="376"/>
      <c r="C13" s="377">
        <f>+'Quadro de Receitas'!G11</f>
        <v>749700</v>
      </c>
      <c r="D13" s="378"/>
      <c r="E13" s="379">
        <f>(C13/(C12/100))-100</f>
        <v>28.93882794244226</v>
      </c>
      <c r="F13" s="380"/>
      <c r="G13" s="176"/>
      <c r="H13" s="176"/>
      <c r="I13" s="176"/>
      <c r="J13" s="176"/>
    </row>
    <row r="14" spans="1:10" ht="12.75">
      <c r="A14" s="375">
        <v>2018</v>
      </c>
      <c r="B14" s="376"/>
      <c r="C14" s="377">
        <f>+'Quadro de Receitas'!H11</f>
        <v>817697.79</v>
      </c>
      <c r="D14" s="378"/>
      <c r="E14" s="379">
        <f>(C14/(C13/100))-100</f>
        <v>9.070000000000007</v>
      </c>
      <c r="F14" s="380"/>
      <c r="G14" s="176"/>
      <c r="H14" s="176"/>
      <c r="I14" s="176"/>
      <c r="J14" s="176"/>
    </row>
    <row r="15" spans="1:10" ht="12.75">
      <c r="A15" s="375">
        <v>2019</v>
      </c>
      <c r="B15" s="376"/>
      <c r="C15" s="377">
        <f>+'Quadro de Receitas'!I11</f>
        <v>870848.14635</v>
      </c>
      <c r="D15" s="378"/>
      <c r="E15" s="379">
        <f>(C15/(C14/100))-100</f>
        <v>6.5</v>
      </c>
      <c r="F15" s="380"/>
      <c r="G15" s="176"/>
      <c r="H15" s="176"/>
      <c r="I15" s="176"/>
      <c r="J15" s="176"/>
    </row>
    <row r="16" spans="1:10" ht="12.75">
      <c r="A16" s="381">
        <v>2020</v>
      </c>
      <c r="B16" s="382"/>
      <c r="C16" s="383">
        <f>+'Quadro de Receitas'!J11</f>
        <v>927453.27586275</v>
      </c>
      <c r="D16" s="384"/>
      <c r="E16" s="385">
        <f>(C16/(C15/100))-100</f>
        <v>6.5</v>
      </c>
      <c r="F16" s="386"/>
      <c r="G16" s="176"/>
      <c r="H16" s="176"/>
      <c r="I16" s="176"/>
      <c r="J16" s="176"/>
    </row>
    <row r="17" spans="1:10" ht="12.75">
      <c r="A17" s="176"/>
      <c r="B17" s="176"/>
      <c r="C17" s="176"/>
      <c r="D17" s="176"/>
      <c r="E17" s="176"/>
      <c r="F17" s="176"/>
      <c r="G17" s="176"/>
      <c r="H17" s="176"/>
      <c r="I17" s="176"/>
      <c r="J17" s="176"/>
    </row>
    <row r="18" spans="1:10" ht="12.75">
      <c r="A18" s="256" t="s">
        <v>161</v>
      </c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ht="12.75">
      <c r="A19" s="176" t="s">
        <v>375</v>
      </c>
      <c r="B19" s="176"/>
      <c r="C19" s="176"/>
      <c r="D19" s="176"/>
      <c r="E19" s="176"/>
      <c r="F19" s="176"/>
      <c r="G19" s="176"/>
      <c r="H19" s="176"/>
      <c r="I19" s="176"/>
      <c r="J19" s="176"/>
    </row>
    <row r="20" spans="1:10" ht="15.75" customHeight="1">
      <c r="A20" s="176" t="s">
        <v>376</v>
      </c>
      <c r="B20" s="176"/>
      <c r="C20" s="176"/>
      <c r="D20" s="176"/>
      <c r="E20" s="176"/>
      <c r="F20" s="257"/>
      <c r="G20" s="176"/>
      <c r="H20" s="176"/>
      <c r="I20" s="176"/>
      <c r="J20" s="176"/>
    </row>
    <row r="21" spans="1:10" ht="12.75">
      <c r="A21" s="251"/>
      <c r="B21" s="251"/>
      <c r="C21" s="251"/>
      <c r="D21" s="251"/>
      <c r="E21" s="251"/>
      <c r="F21" s="251"/>
      <c r="G21" s="251"/>
      <c r="H21" s="251"/>
      <c r="I21" s="251"/>
      <c r="J21" s="176"/>
    </row>
    <row r="22" spans="1:10" ht="12.75">
      <c r="A22" s="251"/>
      <c r="B22" s="251"/>
      <c r="C22" s="251"/>
      <c r="D22" s="251"/>
      <c r="E22" s="251"/>
      <c r="F22" s="251"/>
      <c r="G22" s="251"/>
      <c r="H22" s="251"/>
      <c r="I22" s="251"/>
      <c r="J22" s="176"/>
    </row>
    <row r="23" spans="1:10" ht="12.75">
      <c r="A23" s="252"/>
      <c r="B23" s="252"/>
      <c r="C23" s="252"/>
      <c r="D23" s="252"/>
      <c r="E23" s="252"/>
      <c r="F23" s="252"/>
      <c r="G23" s="252"/>
      <c r="H23" s="252"/>
      <c r="I23" s="252"/>
      <c r="J23" s="176"/>
    </row>
    <row r="24" spans="1:10" ht="12.75">
      <c r="A24" s="258" t="s">
        <v>275</v>
      </c>
      <c r="B24" s="258"/>
      <c r="C24" s="176"/>
      <c r="D24" s="176"/>
      <c r="E24" s="176"/>
      <c r="F24" s="176"/>
      <c r="G24" s="176"/>
      <c r="H24" s="176"/>
      <c r="I24" s="176"/>
      <c r="J24" s="176"/>
    </row>
    <row r="25" spans="1:10" ht="12.75">
      <c r="A25" s="176"/>
      <c r="B25" s="176"/>
      <c r="C25" s="176"/>
      <c r="D25" s="176"/>
      <c r="E25" s="176"/>
      <c r="F25" s="176"/>
      <c r="G25" s="176"/>
      <c r="H25" s="176"/>
      <c r="I25" s="176"/>
      <c r="J25" s="176"/>
    </row>
    <row r="26" spans="1:10" ht="12.75">
      <c r="A26" s="369" t="s">
        <v>272</v>
      </c>
      <c r="B26" s="370"/>
      <c r="C26" s="369" t="s">
        <v>273</v>
      </c>
      <c r="D26" s="370"/>
      <c r="E26" s="369" t="s">
        <v>274</v>
      </c>
      <c r="F26" s="370"/>
      <c r="G26" s="176"/>
      <c r="H26" s="176"/>
      <c r="I26" s="176"/>
      <c r="J26" s="176"/>
    </row>
    <row r="27" spans="1:10" ht="12.75">
      <c r="A27" s="369">
        <v>2015</v>
      </c>
      <c r="B27" s="370"/>
      <c r="C27" s="387">
        <f>+'Quadro de Receitas'!E12</f>
        <v>421961.83</v>
      </c>
      <c r="D27" s="388"/>
      <c r="E27" s="259"/>
      <c r="F27" s="253"/>
      <c r="G27" s="176"/>
      <c r="H27" s="176"/>
      <c r="I27" s="176"/>
      <c r="J27" s="176"/>
    </row>
    <row r="28" spans="1:10" ht="12.75">
      <c r="A28" s="375">
        <v>2016</v>
      </c>
      <c r="B28" s="376"/>
      <c r="C28" s="389">
        <f>+'Quadro de Receitas'!F12</f>
        <v>461490.02</v>
      </c>
      <c r="D28" s="390"/>
      <c r="E28" s="391">
        <f>(C28/(C27/100))-100</f>
        <v>9.367716980467165</v>
      </c>
      <c r="F28" s="380"/>
      <c r="G28" s="176"/>
      <c r="H28" s="176"/>
      <c r="I28" s="176"/>
      <c r="J28" s="176"/>
    </row>
    <row r="29" spans="1:10" ht="12.75">
      <c r="A29" s="375">
        <v>2017</v>
      </c>
      <c r="B29" s="376"/>
      <c r="C29" s="389">
        <f>+'Quadro de Receitas'!G12</f>
        <v>480000</v>
      </c>
      <c r="D29" s="390"/>
      <c r="E29" s="379">
        <f>(C29/(C28/100))-100</f>
        <v>4.0109166391073785</v>
      </c>
      <c r="F29" s="380"/>
      <c r="G29" s="176"/>
      <c r="H29" s="176"/>
      <c r="I29" s="176"/>
      <c r="J29" s="176"/>
    </row>
    <row r="30" spans="1:10" ht="12.75">
      <c r="A30" s="375">
        <v>2018</v>
      </c>
      <c r="B30" s="376"/>
      <c r="C30" s="389">
        <f>+'Quadro de Receitas'!H12</f>
        <v>523536</v>
      </c>
      <c r="D30" s="390"/>
      <c r="E30" s="379">
        <f>(C30/(C29/100))-100</f>
        <v>9.069999999999993</v>
      </c>
      <c r="F30" s="380"/>
      <c r="G30" s="176"/>
      <c r="H30" s="176"/>
      <c r="I30" s="176"/>
      <c r="J30" s="176"/>
    </row>
    <row r="31" spans="1:10" ht="12.75">
      <c r="A31" s="375">
        <v>2019</v>
      </c>
      <c r="B31" s="376"/>
      <c r="C31" s="392">
        <f>+'Quadro de Receitas'!I12</f>
        <v>557565.84</v>
      </c>
      <c r="D31" s="390"/>
      <c r="E31" s="379">
        <f>(C31/(C30/100))-100</f>
        <v>6.5</v>
      </c>
      <c r="F31" s="380"/>
      <c r="G31" s="176"/>
      <c r="H31" s="176"/>
      <c r="I31" s="176"/>
      <c r="J31" s="176"/>
    </row>
    <row r="32" spans="1:10" ht="12.75">
      <c r="A32" s="381">
        <v>2020</v>
      </c>
      <c r="B32" s="382"/>
      <c r="C32" s="393">
        <f>+'Quadro de Receitas'!J12</f>
        <v>593807.6196</v>
      </c>
      <c r="D32" s="394"/>
      <c r="E32" s="395">
        <f>(C32/(C31/100))-100</f>
        <v>6.500000000000014</v>
      </c>
      <c r="F32" s="386"/>
      <c r="G32" s="176"/>
      <c r="H32" s="176"/>
      <c r="I32" s="176"/>
      <c r="J32" s="176"/>
    </row>
    <row r="33" spans="1:10" ht="12.75">
      <c r="A33" s="176"/>
      <c r="B33" s="176"/>
      <c r="C33" s="176"/>
      <c r="D33" s="176"/>
      <c r="E33" s="176"/>
      <c r="F33" s="176"/>
      <c r="G33" s="176"/>
      <c r="H33" s="176"/>
      <c r="I33" s="176"/>
      <c r="J33" s="176"/>
    </row>
    <row r="34" spans="1:10" ht="12.75">
      <c r="A34" s="256" t="s">
        <v>161</v>
      </c>
      <c r="B34" s="176"/>
      <c r="C34" s="176"/>
      <c r="D34" s="176"/>
      <c r="E34" s="176"/>
      <c r="F34" s="176"/>
      <c r="G34" s="176"/>
      <c r="H34" s="176"/>
      <c r="I34" s="176"/>
      <c r="J34" s="176"/>
    </row>
    <row r="35" spans="1:10" ht="12.75">
      <c r="A35" s="237" t="s">
        <v>377</v>
      </c>
      <c r="B35" s="237"/>
      <c r="C35" s="237"/>
      <c r="D35" s="237"/>
      <c r="E35" s="237"/>
      <c r="F35" s="237"/>
      <c r="G35" s="237"/>
      <c r="H35" s="176"/>
      <c r="I35" s="176"/>
      <c r="J35" s="176"/>
    </row>
    <row r="36" spans="1:10" ht="12.75">
      <c r="A36" s="237" t="s">
        <v>378</v>
      </c>
      <c r="B36" s="237"/>
      <c r="C36" s="237"/>
      <c r="D36" s="237"/>
      <c r="E36" s="237"/>
      <c r="F36" s="237"/>
      <c r="G36" s="237"/>
      <c r="H36" s="176"/>
      <c r="I36" s="176"/>
      <c r="J36" s="176"/>
    </row>
    <row r="37" spans="1:10" ht="12.75">
      <c r="A37" s="237"/>
      <c r="B37" s="237"/>
      <c r="C37" s="237"/>
      <c r="D37" s="237"/>
      <c r="E37" s="237"/>
      <c r="F37" s="237"/>
      <c r="G37" s="237"/>
      <c r="H37" s="176"/>
      <c r="I37" s="176"/>
      <c r="J37" s="176"/>
    </row>
    <row r="38" spans="1:10" ht="12.75">
      <c r="A38" s="251"/>
      <c r="B38" s="251"/>
      <c r="C38" s="251"/>
      <c r="D38" s="251"/>
      <c r="E38" s="251"/>
      <c r="F38" s="251"/>
      <c r="G38" s="251"/>
      <c r="H38" s="251"/>
      <c r="I38" s="251"/>
      <c r="J38" s="251"/>
    </row>
    <row r="39" spans="1:10" ht="12.75">
      <c r="A39" s="252"/>
      <c r="B39" s="252"/>
      <c r="C39" s="252"/>
      <c r="D39" s="252"/>
      <c r="E39" s="252"/>
      <c r="F39" s="252"/>
      <c r="G39" s="252"/>
      <c r="H39" s="252"/>
      <c r="I39" s="252"/>
      <c r="J39" s="176"/>
    </row>
    <row r="40" spans="1:10" ht="12.75">
      <c r="A40" s="396" t="s">
        <v>183</v>
      </c>
      <c r="B40" s="396"/>
      <c r="C40" s="396"/>
      <c r="D40" s="176"/>
      <c r="E40" s="176"/>
      <c r="F40" s="176"/>
      <c r="G40" s="176"/>
      <c r="H40" s="176"/>
      <c r="I40" s="176"/>
      <c r="J40" s="176"/>
    </row>
    <row r="41" spans="1:10" ht="12.75">
      <c r="A41" s="176"/>
      <c r="B41" s="176"/>
      <c r="C41" s="176"/>
      <c r="D41" s="176"/>
      <c r="E41" s="176"/>
      <c r="F41" s="176"/>
      <c r="G41" s="176"/>
      <c r="H41" s="176"/>
      <c r="I41" s="176"/>
      <c r="J41" s="176"/>
    </row>
    <row r="42" spans="1:10" ht="12.75">
      <c r="A42" s="369" t="s">
        <v>272</v>
      </c>
      <c r="B42" s="370"/>
      <c r="C42" s="369" t="s">
        <v>273</v>
      </c>
      <c r="D42" s="370"/>
      <c r="E42" s="369" t="s">
        <v>274</v>
      </c>
      <c r="F42" s="370"/>
      <c r="G42" s="176"/>
      <c r="H42" s="176"/>
      <c r="I42" s="176"/>
      <c r="J42" s="176"/>
    </row>
    <row r="43" spans="1:10" ht="12.75">
      <c r="A43" s="369">
        <v>2015</v>
      </c>
      <c r="B43" s="370"/>
      <c r="C43" s="397">
        <f>+'Quadro de Receitas'!E13</f>
        <v>311872.13</v>
      </c>
      <c r="D43" s="388"/>
      <c r="E43" s="373">
        <v>0</v>
      </c>
      <c r="F43" s="374"/>
      <c r="G43" s="176"/>
      <c r="H43" s="176"/>
      <c r="I43" s="176"/>
      <c r="J43" s="176"/>
    </row>
    <row r="44" spans="1:10" ht="12.75">
      <c r="A44" s="375">
        <v>2016</v>
      </c>
      <c r="B44" s="376"/>
      <c r="C44" s="392">
        <f>+'Quadro de Receitas'!F13</f>
        <v>347158.11</v>
      </c>
      <c r="D44" s="390"/>
      <c r="E44" s="391">
        <f>(C44/(C43/100))-100</f>
        <v>11.314246002039354</v>
      </c>
      <c r="F44" s="380"/>
      <c r="G44" s="176"/>
      <c r="H44" s="176"/>
      <c r="I44" s="176"/>
      <c r="J44" s="176"/>
    </row>
    <row r="45" spans="1:10" ht="12.75">
      <c r="A45" s="375">
        <v>2017</v>
      </c>
      <c r="B45" s="376"/>
      <c r="C45" s="392">
        <f>+'Quadro de Receitas'!G13</f>
        <v>481000</v>
      </c>
      <c r="D45" s="390"/>
      <c r="E45" s="391">
        <f>(C45/(C44/100))-100</f>
        <v>38.55358297693232</v>
      </c>
      <c r="F45" s="380"/>
      <c r="G45" s="176"/>
      <c r="H45" s="176"/>
      <c r="I45" s="176"/>
      <c r="J45" s="176"/>
    </row>
    <row r="46" spans="1:10" ht="12.75">
      <c r="A46" s="375">
        <v>2018</v>
      </c>
      <c r="B46" s="376"/>
      <c r="C46" s="392">
        <f>+'Quadro de Receitas'!H13</f>
        <v>524626.7</v>
      </c>
      <c r="D46" s="390"/>
      <c r="E46" s="391">
        <f>(C46/(C45/100))-100</f>
        <v>9.069999999999993</v>
      </c>
      <c r="F46" s="380"/>
      <c r="G46" s="176"/>
      <c r="H46" s="176"/>
      <c r="I46" s="176"/>
      <c r="J46" s="176"/>
    </row>
    <row r="47" spans="1:10" ht="12.75">
      <c r="A47" s="375">
        <v>2019</v>
      </c>
      <c r="B47" s="376"/>
      <c r="C47" s="392">
        <f>+'Quadro de Receitas'!I13</f>
        <v>558727.4354999999</v>
      </c>
      <c r="D47" s="390"/>
      <c r="E47" s="391">
        <f>(C47/(C46/100))-100</f>
        <v>6.499999999999986</v>
      </c>
      <c r="F47" s="380"/>
      <c r="G47" s="176"/>
      <c r="H47" s="176"/>
      <c r="I47" s="176"/>
      <c r="J47" s="176"/>
    </row>
    <row r="48" spans="1:10" ht="12.75">
      <c r="A48" s="381">
        <v>2020</v>
      </c>
      <c r="B48" s="382"/>
      <c r="C48" s="398">
        <f>+'Quadro de Receitas'!J13</f>
        <v>595044.7188074999</v>
      </c>
      <c r="D48" s="394"/>
      <c r="E48" s="385">
        <f>(C48/(C47/100))-100</f>
        <v>6.5</v>
      </c>
      <c r="F48" s="386"/>
      <c r="G48" s="176"/>
      <c r="H48" s="176"/>
      <c r="I48" s="176"/>
      <c r="J48" s="176"/>
    </row>
    <row r="49" spans="1:10" ht="12.75">
      <c r="A49" s="176"/>
      <c r="B49" s="176"/>
      <c r="C49" s="176"/>
      <c r="D49" s="176"/>
      <c r="E49" s="176"/>
      <c r="F49" s="176"/>
      <c r="G49" s="176"/>
      <c r="H49" s="176"/>
      <c r="I49" s="176"/>
      <c r="J49" s="176"/>
    </row>
    <row r="50" spans="1:10" ht="12.75">
      <c r="A50" s="256" t="s">
        <v>161</v>
      </c>
      <c r="B50" s="176"/>
      <c r="C50" s="176"/>
      <c r="D50" s="176"/>
      <c r="E50" s="176"/>
      <c r="F50" s="176"/>
      <c r="G50" s="176"/>
      <c r="H50" s="176"/>
      <c r="I50" s="176"/>
      <c r="J50" s="176"/>
    </row>
    <row r="51" spans="1:10" ht="12.75">
      <c r="A51" s="176" t="s">
        <v>379</v>
      </c>
      <c r="B51" s="176"/>
      <c r="C51" s="176"/>
      <c r="D51" s="176"/>
      <c r="E51" s="176"/>
      <c r="F51" s="176"/>
      <c r="G51" s="176"/>
      <c r="H51" s="176"/>
      <c r="I51" s="176"/>
      <c r="J51" s="176"/>
    </row>
    <row r="52" spans="1:10" ht="12.75">
      <c r="A52" s="176" t="s">
        <v>380</v>
      </c>
      <c r="B52" s="176"/>
      <c r="C52" s="176"/>
      <c r="D52" s="176"/>
      <c r="E52" s="176"/>
      <c r="F52" s="176"/>
      <c r="G52" s="176"/>
      <c r="H52" s="176"/>
      <c r="I52" s="176"/>
      <c r="J52" s="176"/>
    </row>
    <row r="53" spans="1:10" ht="12.75">
      <c r="A53" s="176" t="s">
        <v>381</v>
      </c>
      <c r="B53" s="176"/>
      <c r="C53" s="176"/>
      <c r="D53" s="176"/>
      <c r="E53" s="176"/>
      <c r="F53" s="176"/>
      <c r="G53" s="176"/>
      <c r="H53" s="176"/>
      <c r="I53" s="176"/>
      <c r="J53" s="176"/>
    </row>
    <row r="54" spans="1:10" ht="12.75">
      <c r="A54" s="176"/>
      <c r="B54" s="176"/>
      <c r="C54" s="176"/>
      <c r="D54" s="176"/>
      <c r="E54" s="176"/>
      <c r="F54" s="176"/>
      <c r="G54" s="176"/>
      <c r="H54" s="176"/>
      <c r="I54" s="176"/>
      <c r="J54" s="176"/>
    </row>
    <row r="55" spans="1:10" ht="12.75">
      <c r="A55" s="176"/>
      <c r="B55" s="176"/>
      <c r="C55" s="176"/>
      <c r="D55" s="176"/>
      <c r="E55" s="176"/>
      <c r="F55" s="176"/>
      <c r="G55" s="176"/>
      <c r="H55" s="176"/>
      <c r="I55" s="176"/>
      <c r="J55" s="176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6"/>
    </row>
    <row r="57" spans="1:10" ht="12.75">
      <c r="A57" s="176"/>
      <c r="B57" s="176"/>
      <c r="C57" s="176"/>
      <c r="D57" s="176"/>
      <c r="E57" s="176"/>
      <c r="F57" s="176"/>
      <c r="G57" s="176"/>
      <c r="H57" s="176"/>
      <c r="I57" s="176"/>
      <c r="J57" s="176"/>
    </row>
    <row r="58" spans="1:10" ht="12.75">
      <c r="A58" s="176"/>
      <c r="B58" s="176"/>
      <c r="C58" s="176"/>
      <c r="D58" s="176"/>
      <c r="E58" s="176"/>
      <c r="F58" s="176"/>
      <c r="G58" s="176"/>
      <c r="H58" s="176"/>
      <c r="I58" s="176"/>
      <c r="J58" s="176"/>
    </row>
    <row r="59" spans="1:10" ht="12.75">
      <c r="A59" s="176"/>
      <c r="B59" s="176"/>
      <c r="C59" s="349" t="s">
        <v>141</v>
      </c>
      <c r="D59" s="349"/>
      <c r="E59" s="349"/>
      <c r="F59" s="349"/>
      <c r="G59" s="349"/>
      <c r="H59" s="176"/>
      <c r="I59" s="176"/>
      <c r="J59" s="176"/>
    </row>
    <row r="60" spans="1:10" ht="15.75">
      <c r="A60" s="176"/>
      <c r="B60" s="176"/>
      <c r="C60" s="348" t="s">
        <v>166</v>
      </c>
      <c r="D60" s="348"/>
      <c r="E60" s="348"/>
      <c r="F60" s="348"/>
      <c r="G60" s="348"/>
      <c r="H60" s="348"/>
      <c r="I60" s="176"/>
      <c r="J60" s="176"/>
    </row>
    <row r="61" spans="1:10" ht="12.75">
      <c r="A61" s="176"/>
      <c r="B61" s="176"/>
      <c r="C61" s="349" t="s">
        <v>142</v>
      </c>
      <c r="D61" s="349"/>
      <c r="E61" s="349"/>
      <c r="F61" s="349"/>
      <c r="G61" s="349"/>
      <c r="H61" s="176"/>
      <c r="I61" s="176"/>
      <c r="J61" s="176"/>
    </row>
    <row r="62" spans="1:10" ht="12.75">
      <c r="A62" s="176"/>
      <c r="B62" s="176"/>
      <c r="C62" s="349" t="s">
        <v>246</v>
      </c>
      <c r="D62" s="349"/>
      <c r="E62" s="349"/>
      <c r="F62" s="349"/>
      <c r="G62" s="349"/>
      <c r="H62" s="349"/>
      <c r="I62" s="349"/>
      <c r="J62" s="176"/>
    </row>
    <row r="63" spans="1:10" ht="12.75">
      <c r="A63" s="176"/>
      <c r="B63" s="176"/>
      <c r="C63" s="349" t="s">
        <v>247</v>
      </c>
      <c r="D63" s="349"/>
      <c r="E63" s="349"/>
      <c r="F63" s="349"/>
      <c r="G63" s="349"/>
      <c r="H63" s="176"/>
      <c r="I63" s="176"/>
      <c r="J63" s="176"/>
    </row>
    <row r="64" spans="1:10" ht="12.75">
      <c r="A64" s="176"/>
      <c r="B64" s="176"/>
      <c r="C64" s="349" t="s">
        <v>248</v>
      </c>
      <c r="D64" s="349"/>
      <c r="E64" s="349"/>
      <c r="F64" s="349"/>
      <c r="G64" s="349"/>
      <c r="H64" s="176"/>
      <c r="I64" s="176"/>
      <c r="J64" s="176"/>
    </row>
    <row r="65" spans="1:10" ht="12.75">
      <c r="A65" s="252"/>
      <c r="B65" s="252"/>
      <c r="C65" s="252"/>
      <c r="D65" s="252"/>
      <c r="E65" s="252"/>
      <c r="F65" s="252"/>
      <c r="G65" s="252"/>
      <c r="H65" s="252"/>
      <c r="I65" s="252"/>
      <c r="J65" s="176"/>
    </row>
    <row r="66" spans="1:10" ht="12.75">
      <c r="A66" s="368" t="s">
        <v>276</v>
      </c>
      <c r="B66" s="368"/>
      <c r="C66" s="368"/>
      <c r="D66" s="176"/>
      <c r="E66" s="176"/>
      <c r="F66" s="176"/>
      <c r="G66" s="176"/>
      <c r="H66" s="176"/>
      <c r="I66" s="176"/>
      <c r="J66" s="176"/>
    </row>
    <row r="67" spans="1:10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</row>
    <row r="68" spans="1:10" ht="12.75">
      <c r="A68" s="369" t="s">
        <v>272</v>
      </c>
      <c r="B68" s="370"/>
      <c r="C68" s="369" t="s">
        <v>273</v>
      </c>
      <c r="D68" s="370"/>
      <c r="E68" s="369" t="s">
        <v>274</v>
      </c>
      <c r="F68" s="370"/>
      <c r="G68" s="176"/>
      <c r="H68" s="176"/>
      <c r="I68" s="176"/>
      <c r="J68" s="176"/>
    </row>
    <row r="69" spans="1:10" ht="12.75">
      <c r="A69" s="369">
        <v>2015</v>
      </c>
      <c r="B69" s="370"/>
      <c r="C69" s="371">
        <f>+'Quadro de Receitas'!E17</f>
        <v>18698867.09</v>
      </c>
      <c r="D69" s="372"/>
      <c r="E69" s="373"/>
      <c r="F69" s="374"/>
      <c r="G69" s="176"/>
      <c r="H69" s="176"/>
      <c r="I69" s="176"/>
      <c r="J69" s="176"/>
    </row>
    <row r="70" spans="1:10" ht="12.75">
      <c r="A70" s="375">
        <v>2016</v>
      </c>
      <c r="B70" s="376"/>
      <c r="C70" s="377">
        <f>+'Quadro de Receitas'!F17</f>
        <v>20142405.95</v>
      </c>
      <c r="D70" s="378"/>
      <c r="E70" s="391">
        <f>(C70/(C69/100))-100</f>
        <v>7.719926843974378</v>
      </c>
      <c r="F70" s="380"/>
      <c r="G70" s="176"/>
      <c r="H70" s="176"/>
      <c r="I70" s="176"/>
      <c r="J70" s="176"/>
    </row>
    <row r="71" spans="1:10" ht="12.75">
      <c r="A71" s="375">
        <v>2017</v>
      </c>
      <c r="B71" s="376"/>
      <c r="C71" s="377">
        <f>+'Quadro de Receitas'!G17</f>
        <v>26319422</v>
      </c>
      <c r="D71" s="378"/>
      <c r="E71" s="391">
        <f>(C71/(C70/100))-100</f>
        <v>30.666724051403605</v>
      </c>
      <c r="F71" s="380"/>
      <c r="G71" s="176"/>
      <c r="H71" s="176"/>
      <c r="I71" s="176"/>
      <c r="J71" s="176"/>
    </row>
    <row r="72" spans="1:10" ht="12.75">
      <c r="A72" s="375">
        <v>2018</v>
      </c>
      <c r="B72" s="376"/>
      <c r="C72" s="377">
        <f>+'Quadro de Receitas'!H17</f>
        <v>28706593.5754</v>
      </c>
      <c r="D72" s="378"/>
      <c r="E72" s="391">
        <f>(C72/(C71/100))-100</f>
        <v>9.070000000000007</v>
      </c>
      <c r="F72" s="380"/>
      <c r="G72" s="176"/>
      <c r="H72" s="176"/>
      <c r="I72" s="176"/>
      <c r="J72" s="176"/>
    </row>
    <row r="73" spans="1:10" ht="12.75">
      <c r="A73" s="375">
        <v>2019</v>
      </c>
      <c r="B73" s="376"/>
      <c r="C73" s="377">
        <f>+'Quadro de Receitas'!I17</f>
        <v>30572522.157801</v>
      </c>
      <c r="D73" s="378"/>
      <c r="E73" s="391">
        <f>(C73/(C72/100))-100</f>
        <v>6.5</v>
      </c>
      <c r="F73" s="380"/>
      <c r="G73" s="176"/>
      <c r="H73" s="176"/>
      <c r="I73" s="176"/>
      <c r="J73" s="176"/>
    </row>
    <row r="74" spans="1:10" ht="12.75">
      <c r="A74" s="381">
        <v>2020</v>
      </c>
      <c r="B74" s="382"/>
      <c r="C74" s="399">
        <f>+'Quadro de Receitas'!J17</f>
        <v>32559736.098058064</v>
      </c>
      <c r="D74" s="384"/>
      <c r="E74" s="385">
        <f>(C74/(C73/100))-100</f>
        <v>6.499999999999986</v>
      </c>
      <c r="F74" s="386"/>
      <c r="G74" s="176"/>
      <c r="H74" s="176"/>
      <c r="I74" s="176"/>
      <c r="J74" s="176"/>
    </row>
    <row r="75" spans="1:10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</row>
    <row r="76" spans="1:10" ht="12.75">
      <c r="A76" s="256" t="s">
        <v>161</v>
      </c>
      <c r="B76" s="176"/>
      <c r="C76" s="176"/>
      <c r="D76" s="176"/>
      <c r="E76" s="176"/>
      <c r="F76" s="176"/>
      <c r="G76" s="176"/>
      <c r="H76" s="176"/>
      <c r="I76" s="176"/>
      <c r="J76" s="176"/>
    </row>
    <row r="77" spans="1:10" ht="12.75">
      <c r="A77" s="237" t="s">
        <v>377</v>
      </c>
      <c r="B77" s="176"/>
      <c r="C77" s="176"/>
      <c r="D77" s="176"/>
      <c r="E77" s="176"/>
      <c r="F77" s="176"/>
      <c r="G77" s="176"/>
      <c r="H77" s="176"/>
      <c r="I77" s="176"/>
      <c r="J77" s="176"/>
    </row>
    <row r="78" spans="1:10" ht="12.75">
      <c r="A78" s="349" t="s">
        <v>378</v>
      </c>
      <c r="B78" s="349"/>
      <c r="C78" s="349"/>
      <c r="D78" s="349"/>
      <c r="E78" s="349"/>
      <c r="F78" s="349"/>
      <c r="G78" s="349"/>
      <c r="H78" s="349"/>
      <c r="I78" s="349"/>
      <c r="J78" s="176"/>
    </row>
    <row r="79" spans="1:10" ht="12.75">
      <c r="A79" s="251"/>
      <c r="B79" s="251"/>
      <c r="C79" s="251"/>
      <c r="D79" s="251"/>
      <c r="E79" s="251"/>
      <c r="F79" s="251"/>
      <c r="G79" s="251"/>
      <c r="H79" s="251"/>
      <c r="I79" s="251"/>
      <c r="J79" s="176"/>
    </row>
    <row r="80" spans="1:10" ht="12.75">
      <c r="A80" s="251"/>
      <c r="B80" s="251"/>
      <c r="C80" s="251"/>
      <c r="D80" s="251"/>
      <c r="E80" s="251"/>
      <c r="F80" s="251"/>
      <c r="G80" s="251"/>
      <c r="H80" s="251"/>
      <c r="I80" s="251"/>
      <c r="J80" s="176"/>
    </row>
    <row r="81" spans="1:10" ht="12.75">
      <c r="A81" s="252"/>
      <c r="B81" s="252"/>
      <c r="C81" s="252"/>
      <c r="D81" s="252"/>
      <c r="E81" s="252"/>
      <c r="F81" s="252"/>
      <c r="G81" s="252"/>
      <c r="H81" s="252"/>
      <c r="I81" s="252"/>
      <c r="J81" s="176"/>
    </row>
    <row r="82" spans="1:10" ht="12.75">
      <c r="A82" s="368" t="s">
        <v>189</v>
      </c>
      <c r="B82" s="368"/>
      <c r="C82" s="368"/>
      <c r="D82" s="176"/>
      <c r="E82" s="176"/>
      <c r="F82" s="176"/>
      <c r="G82" s="176"/>
      <c r="H82" s="176"/>
      <c r="I82" s="176"/>
      <c r="J82" s="176"/>
    </row>
    <row r="83" spans="1:10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</row>
    <row r="84" spans="1:10" ht="12.75">
      <c r="A84" s="369" t="s">
        <v>272</v>
      </c>
      <c r="B84" s="370"/>
      <c r="C84" s="369" t="s">
        <v>273</v>
      </c>
      <c r="D84" s="370"/>
      <c r="E84" s="369" t="s">
        <v>274</v>
      </c>
      <c r="F84" s="370"/>
      <c r="G84" s="176"/>
      <c r="H84" s="176"/>
      <c r="I84" s="176"/>
      <c r="J84" s="176"/>
    </row>
    <row r="85" spans="1:10" ht="12.75">
      <c r="A85" s="369">
        <v>2015</v>
      </c>
      <c r="B85" s="370"/>
      <c r="C85" s="400">
        <f>+'Quadro de Receitas'!E18</f>
        <v>41755.92</v>
      </c>
      <c r="D85" s="372"/>
      <c r="E85" s="401"/>
      <c r="F85" s="374"/>
      <c r="G85" s="176"/>
      <c r="H85" s="176"/>
      <c r="I85" s="176"/>
      <c r="J85" s="176"/>
    </row>
    <row r="86" spans="1:10" ht="12.75">
      <c r="A86" s="375">
        <v>2016</v>
      </c>
      <c r="B86" s="376"/>
      <c r="C86" s="402">
        <f>+'Quadro de Receitas'!F18</f>
        <v>43983.97</v>
      </c>
      <c r="D86" s="378"/>
      <c r="E86" s="379">
        <f>(C86/(C85/100))-100</f>
        <v>5.335890096542002</v>
      </c>
      <c r="F86" s="380"/>
      <c r="G86" s="176"/>
      <c r="H86" s="176"/>
      <c r="I86" s="176"/>
      <c r="J86" s="176"/>
    </row>
    <row r="87" spans="1:10" ht="12.75">
      <c r="A87" s="375">
        <v>2017</v>
      </c>
      <c r="B87" s="376"/>
      <c r="C87" s="402">
        <f>+'Quadro de Receitas'!G18</f>
        <v>181100</v>
      </c>
      <c r="D87" s="378"/>
      <c r="E87" s="379">
        <f>(C87/(C86/100))-100</f>
        <v>311.74091379200195</v>
      </c>
      <c r="F87" s="380"/>
      <c r="G87" s="176"/>
      <c r="H87" s="176"/>
      <c r="I87" s="176"/>
      <c r="J87" s="176"/>
    </row>
    <row r="88" spans="1:10" ht="12.75">
      <c r="A88" s="375">
        <v>2018</v>
      </c>
      <c r="B88" s="376"/>
      <c r="C88" s="402">
        <f>+'Quadro de Receitas'!H18</f>
        <v>197525.77</v>
      </c>
      <c r="D88" s="378"/>
      <c r="E88" s="379">
        <f>(C88/(C87/100))-100</f>
        <v>9.069999999999993</v>
      </c>
      <c r="F88" s="380"/>
      <c r="G88" s="176"/>
      <c r="H88" s="176"/>
      <c r="I88" s="176"/>
      <c r="J88" s="176"/>
    </row>
    <row r="89" spans="1:10" ht="12.75">
      <c r="A89" s="375">
        <v>2019</v>
      </c>
      <c r="B89" s="376"/>
      <c r="C89" s="402">
        <f>+'Quadro de Receitas'!I18</f>
        <v>210364.94504999998</v>
      </c>
      <c r="D89" s="378"/>
      <c r="E89" s="379">
        <f>(C89/(C88/100))-100</f>
        <v>6.5</v>
      </c>
      <c r="F89" s="380"/>
      <c r="G89" s="176"/>
      <c r="H89" s="176"/>
      <c r="I89" s="176"/>
      <c r="J89" s="176"/>
    </row>
    <row r="90" spans="1:10" ht="12.75">
      <c r="A90" s="381">
        <v>2020</v>
      </c>
      <c r="B90" s="382"/>
      <c r="C90" s="399">
        <f>+'Quadro de Receitas'!J18</f>
        <v>224038.66647824997</v>
      </c>
      <c r="D90" s="384"/>
      <c r="E90" s="385">
        <f>(C90/(C89/100))-100</f>
        <v>6.5</v>
      </c>
      <c r="F90" s="386"/>
      <c r="G90" s="176"/>
      <c r="H90" s="176"/>
      <c r="I90" s="176"/>
      <c r="J90" s="176"/>
    </row>
    <row r="91" spans="1:10" ht="12.75">
      <c r="A91" s="176"/>
      <c r="B91" s="176"/>
      <c r="C91" s="176"/>
      <c r="D91" s="176"/>
      <c r="E91" s="176"/>
      <c r="F91" s="176"/>
      <c r="G91" s="176"/>
      <c r="H91" s="176"/>
      <c r="I91" s="176"/>
      <c r="J91" s="176"/>
    </row>
    <row r="92" spans="1:10" ht="12.75">
      <c r="A92" s="256" t="s">
        <v>161</v>
      </c>
      <c r="B92" s="176"/>
      <c r="C92" s="176"/>
      <c r="D92" s="176"/>
      <c r="E92" s="176"/>
      <c r="F92" s="176"/>
      <c r="G92" s="176"/>
      <c r="H92" s="176"/>
      <c r="I92" s="176"/>
      <c r="J92" s="176"/>
    </row>
    <row r="93" spans="1:10" ht="12.75">
      <c r="A93" s="245" t="s">
        <v>382</v>
      </c>
      <c r="B93" s="237"/>
      <c r="C93" s="237"/>
      <c r="D93" s="237"/>
      <c r="E93" s="237"/>
      <c r="F93" s="237"/>
      <c r="G93" s="237"/>
      <c r="H93" s="176"/>
      <c r="I93" s="176"/>
      <c r="J93" s="176"/>
    </row>
    <row r="94" spans="1:10" ht="12.75">
      <c r="A94" s="245" t="s">
        <v>383</v>
      </c>
      <c r="B94" s="237"/>
      <c r="C94" s="237"/>
      <c r="D94" s="237"/>
      <c r="E94" s="237"/>
      <c r="F94" s="237"/>
      <c r="G94" s="237"/>
      <c r="H94" s="176"/>
      <c r="I94" s="176"/>
      <c r="J94" s="176"/>
    </row>
    <row r="95" spans="1:10" ht="12.75">
      <c r="A95" s="263"/>
      <c r="B95" s="263"/>
      <c r="C95" s="263"/>
      <c r="D95" s="263"/>
      <c r="E95" s="263"/>
      <c r="F95" s="263"/>
      <c r="G95" s="263"/>
      <c r="H95" s="252"/>
      <c r="I95" s="252"/>
      <c r="J95" s="176"/>
    </row>
    <row r="96" spans="1:10" ht="12.75">
      <c r="A96" s="264" t="s">
        <v>277</v>
      </c>
      <c r="B96" s="265"/>
      <c r="C96" s="176"/>
      <c r="D96" s="176"/>
      <c r="E96" s="176"/>
      <c r="F96" s="176"/>
      <c r="G96" s="176"/>
      <c r="H96" s="176"/>
      <c r="I96" s="176"/>
      <c r="J96" s="176"/>
    </row>
    <row r="97" spans="1:10" ht="12.75">
      <c r="A97" s="176"/>
      <c r="B97" s="176"/>
      <c r="C97" s="176"/>
      <c r="D97" s="176"/>
      <c r="E97" s="176"/>
      <c r="F97" s="176"/>
      <c r="G97" s="176"/>
      <c r="H97" s="176"/>
      <c r="I97" s="176"/>
      <c r="J97" s="176"/>
    </row>
    <row r="98" spans="1:10" ht="12.75">
      <c r="A98" s="369" t="s">
        <v>272</v>
      </c>
      <c r="B98" s="370"/>
      <c r="C98" s="369" t="s">
        <v>273</v>
      </c>
      <c r="D98" s="370"/>
      <c r="E98" s="369" t="s">
        <v>274</v>
      </c>
      <c r="F98" s="370"/>
      <c r="G98" s="176"/>
      <c r="H98" s="176"/>
      <c r="I98" s="176"/>
      <c r="J98" s="176"/>
    </row>
    <row r="99" spans="1:10" ht="12.75">
      <c r="A99" s="369">
        <v>2015</v>
      </c>
      <c r="B99" s="370"/>
      <c r="C99" s="400">
        <v>0</v>
      </c>
      <c r="D99" s="372"/>
      <c r="E99" s="259"/>
      <c r="F99" s="253"/>
      <c r="G99" s="176"/>
      <c r="H99" s="176"/>
      <c r="I99" s="176"/>
      <c r="J99" s="176"/>
    </row>
    <row r="100" spans="1:10" ht="12.75">
      <c r="A100" s="375">
        <v>2016</v>
      </c>
      <c r="B100" s="376"/>
      <c r="C100" s="377">
        <f>+'Quadro de Receitas'!F20</f>
        <v>0</v>
      </c>
      <c r="D100" s="378"/>
      <c r="E100" s="391" t="e">
        <f>(C100/(C99/100))-100</f>
        <v>#DIV/0!</v>
      </c>
      <c r="F100" s="380"/>
      <c r="G100" s="176"/>
      <c r="H100" s="176"/>
      <c r="I100" s="176"/>
      <c r="J100" s="176"/>
    </row>
    <row r="101" spans="1:10" ht="12.75">
      <c r="A101" s="375">
        <v>2017</v>
      </c>
      <c r="B101" s="376"/>
      <c r="C101" s="377">
        <f>+'Quadro de Receitas'!G20</f>
        <v>0</v>
      </c>
      <c r="D101" s="378"/>
      <c r="E101" s="379" t="e">
        <f>(C101/(C100/100))-100</f>
        <v>#DIV/0!</v>
      </c>
      <c r="F101" s="380"/>
      <c r="G101" s="176"/>
      <c r="H101" s="176"/>
      <c r="I101" s="176"/>
      <c r="J101" s="176"/>
    </row>
    <row r="102" spans="1:10" ht="12.75">
      <c r="A102" s="375">
        <v>2018</v>
      </c>
      <c r="B102" s="376"/>
      <c r="C102" s="377">
        <f>+'Quadro de Receitas'!H20</f>
        <v>0</v>
      </c>
      <c r="D102" s="378"/>
      <c r="E102" s="379" t="e">
        <f>(C102/(C101/100))-100</f>
        <v>#DIV/0!</v>
      </c>
      <c r="F102" s="380"/>
      <c r="G102" s="176"/>
      <c r="H102" s="176"/>
      <c r="I102" s="176"/>
      <c r="J102" s="176"/>
    </row>
    <row r="103" spans="1:10" ht="12.75">
      <c r="A103" s="375">
        <v>2019</v>
      </c>
      <c r="B103" s="376"/>
      <c r="C103" s="377">
        <f>+'Quadro de Receitas'!I20</f>
        <v>0</v>
      </c>
      <c r="D103" s="378"/>
      <c r="E103" s="379" t="e">
        <f>(C103/(C102/100))-100</f>
        <v>#DIV/0!</v>
      </c>
      <c r="F103" s="380"/>
      <c r="G103" s="176"/>
      <c r="H103" s="176"/>
      <c r="I103" s="176"/>
      <c r="J103" s="176"/>
    </row>
    <row r="104" spans="1:10" ht="12.75">
      <c r="A104" s="381">
        <v>2020</v>
      </c>
      <c r="B104" s="382"/>
      <c r="C104" s="399">
        <f>+'Quadro de Receitas'!J20</f>
        <v>0</v>
      </c>
      <c r="D104" s="384"/>
      <c r="E104" s="395" t="e">
        <f>(C104/(C103/100))-100</f>
        <v>#DIV/0!</v>
      </c>
      <c r="F104" s="386"/>
      <c r="G104" s="176"/>
      <c r="H104" s="176"/>
      <c r="I104" s="176"/>
      <c r="J104" s="176"/>
    </row>
    <row r="105" spans="1:10" ht="12.75">
      <c r="A105" s="237"/>
      <c r="B105" s="237"/>
      <c r="C105" s="237"/>
      <c r="D105" s="237"/>
      <c r="E105" s="237"/>
      <c r="F105" s="237"/>
      <c r="G105" s="237"/>
      <c r="H105" s="176"/>
      <c r="I105" s="176"/>
      <c r="J105" s="176"/>
    </row>
    <row r="106" spans="1:10" ht="12.75">
      <c r="A106" s="256" t="s">
        <v>161</v>
      </c>
      <c r="B106" s="176"/>
      <c r="C106" s="176"/>
      <c r="D106" s="176"/>
      <c r="E106" s="176"/>
      <c r="F106" s="176"/>
      <c r="G106" s="176"/>
      <c r="H106" s="176"/>
      <c r="I106" s="176"/>
      <c r="J106" s="176"/>
    </row>
    <row r="107" spans="1:10" ht="12.75">
      <c r="A107" s="265" t="s">
        <v>263</v>
      </c>
      <c r="B107" s="265"/>
      <c r="C107" s="265"/>
      <c r="D107" s="176"/>
      <c r="E107" s="176"/>
      <c r="F107" s="176"/>
      <c r="G107" s="176"/>
      <c r="H107" s="176"/>
      <c r="I107" s="176"/>
      <c r="J107" s="176"/>
    </row>
    <row r="108" spans="1:10" ht="12.75">
      <c r="A108" s="176"/>
      <c r="B108" s="176"/>
      <c r="C108" s="176"/>
      <c r="D108" s="176"/>
      <c r="E108" s="176"/>
      <c r="F108" s="176"/>
      <c r="G108" s="176"/>
      <c r="H108" s="176"/>
      <c r="I108" s="176"/>
      <c r="J108" s="176"/>
    </row>
    <row r="109" spans="1:10" ht="12.75">
      <c r="A109" s="369" t="s">
        <v>272</v>
      </c>
      <c r="B109" s="370"/>
      <c r="C109" s="369" t="s">
        <v>273</v>
      </c>
      <c r="D109" s="370"/>
      <c r="E109" s="369" t="s">
        <v>274</v>
      </c>
      <c r="F109" s="370"/>
      <c r="G109" s="176"/>
      <c r="H109" s="176"/>
      <c r="I109" s="176"/>
      <c r="J109" s="176"/>
    </row>
    <row r="110" spans="1:10" ht="12.75">
      <c r="A110" s="369">
        <v>2015</v>
      </c>
      <c r="B110" s="370"/>
      <c r="C110" s="400">
        <f>+'Quadro de Receitas'!E48</f>
        <v>0</v>
      </c>
      <c r="D110" s="372"/>
      <c r="E110" s="401">
        <v>0</v>
      </c>
      <c r="F110" s="374"/>
      <c r="G110" s="176"/>
      <c r="H110" s="176"/>
      <c r="I110" s="176"/>
      <c r="J110" s="176"/>
    </row>
    <row r="111" spans="1:10" ht="12.75">
      <c r="A111" s="375">
        <v>2016</v>
      </c>
      <c r="B111" s="376"/>
      <c r="C111" s="402">
        <f>+'Quadro de Receitas'!F77</f>
        <v>0</v>
      </c>
      <c r="D111" s="378"/>
      <c r="E111" s="379" t="e">
        <f>(C111/(C110/100))-100</f>
        <v>#DIV/0!</v>
      </c>
      <c r="F111" s="380"/>
      <c r="G111" s="176"/>
      <c r="H111" s="176"/>
      <c r="I111" s="176"/>
      <c r="J111" s="176"/>
    </row>
    <row r="112" spans="1:10" ht="12.75">
      <c r="A112" s="375">
        <v>2017</v>
      </c>
      <c r="B112" s="376"/>
      <c r="C112" s="402">
        <f>+'Quadro de Receitas'!G21</f>
        <v>0</v>
      </c>
      <c r="D112" s="378"/>
      <c r="E112" s="379" t="e">
        <f>(C112/(C111/100))-100</f>
        <v>#DIV/0!</v>
      </c>
      <c r="F112" s="380"/>
      <c r="G112" s="176"/>
      <c r="H112" s="176"/>
      <c r="I112" s="176"/>
      <c r="J112" s="176"/>
    </row>
    <row r="113" spans="1:10" ht="12.75">
      <c r="A113" s="375">
        <v>2018</v>
      </c>
      <c r="B113" s="376"/>
      <c r="C113" s="402">
        <f>+'Quadro de Receitas'!H21</f>
        <v>0</v>
      </c>
      <c r="D113" s="378"/>
      <c r="E113" s="379" t="e">
        <f>(C113/(C112/100))-100</f>
        <v>#DIV/0!</v>
      </c>
      <c r="F113" s="380"/>
      <c r="G113" s="176"/>
      <c r="H113" s="176"/>
      <c r="I113" s="176"/>
      <c r="J113" s="176"/>
    </row>
    <row r="114" spans="1:10" ht="12.75">
      <c r="A114" s="375">
        <v>2019</v>
      </c>
      <c r="B114" s="376"/>
      <c r="C114" s="402">
        <f>+'Quadro de Receitas'!I21</f>
        <v>0</v>
      </c>
      <c r="D114" s="378"/>
      <c r="E114" s="379" t="e">
        <f>(C114/(C113/100))-100</f>
        <v>#DIV/0!</v>
      </c>
      <c r="F114" s="380"/>
      <c r="G114" s="176"/>
      <c r="H114" s="176"/>
      <c r="I114" s="176"/>
      <c r="J114" s="176"/>
    </row>
    <row r="115" spans="1:10" ht="12.75">
      <c r="A115" s="381">
        <v>2020</v>
      </c>
      <c r="B115" s="382"/>
      <c r="C115" s="399">
        <f>+'Quadro de Receitas'!J21</f>
        <v>0</v>
      </c>
      <c r="D115" s="384"/>
      <c r="E115" s="395" t="e">
        <f>(C115/(C114/100))-100</f>
        <v>#DIV/0!</v>
      </c>
      <c r="F115" s="386"/>
      <c r="G115" s="176"/>
      <c r="H115" s="176"/>
      <c r="I115" s="176"/>
      <c r="J115" s="176"/>
    </row>
    <row r="116" spans="1:10" ht="12.75">
      <c r="A116" s="176"/>
      <c r="B116" s="176"/>
      <c r="C116" s="176"/>
      <c r="D116" s="176"/>
      <c r="E116" s="176"/>
      <c r="F116" s="176"/>
      <c r="G116" s="176"/>
      <c r="H116" s="176"/>
      <c r="I116" s="176"/>
      <c r="J116" s="176"/>
    </row>
    <row r="117" spans="1:10" ht="12.75">
      <c r="A117" s="264" t="s">
        <v>161</v>
      </c>
      <c r="B117" s="176"/>
      <c r="C117" s="176"/>
      <c r="D117" s="176"/>
      <c r="E117" s="176"/>
      <c r="F117" s="176"/>
      <c r="G117" s="176"/>
      <c r="H117" s="176"/>
      <c r="I117" s="176"/>
      <c r="J117" s="176"/>
    </row>
    <row r="118" spans="1:10" ht="12.75">
      <c r="A118" s="266" t="s">
        <v>379</v>
      </c>
      <c r="B118" s="176"/>
      <c r="C118" s="176"/>
      <c r="D118" s="176"/>
      <c r="E118" s="176"/>
      <c r="F118" s="176"/>
      <c r="G118" s="176"/>
      <c r="H118" s="176"/>
      <c r="I118" s="176"/>
      <c r="J118" s="176"/>
    </row>
    <row r="119" spans="1:10" ht="12.75">
      <c r="A119" s="266" t="s">
        <v>380</v>
      </c>
      <c r="B119" s="176"/>
      <c r="C119" s="176"/>
      <c r="D119" s="176"/>
      <c r="E119" s="176"/>
      <c r="F119" s="176"/>
      <c r="G119" s="176"/>
      <c r="H119" s="176"/>
      <c r="I119" s="176"/>
      <c r="J119" s="176"/>
    </row>
    <row r="120" spans="1:10" ht="12.75">
      <c r="A120" s="266" t="s">
        <v>381</v>
      </c>
      <c r="B120" s="176"/>
      <c r="C120" s="176"/>
      <c r="D120" s="176"/>
      <c r="E120" s="176"/>
      <c r="F120" s="176"/>
      <c r="G120" s="176"/>
      <c r="H120" s="176"/>
      <c r="I120" s="176"/>
      <c r="J120" s="176"/>
    </row>
    <row r="121" spans="1:10" ht="12.75">
      <c r="A121" s="403" t="s">
        <v>278</v>
      </c>
      <c r="B121" s="403"/>
      <c r="C121" s="403"/>
      <c r="D121" s="176"/>
      <c r="E121" s="176"/>
      <c r="F121" s="176"/>
      <c r="G121" s="176"/>
      <c r="H121" s="176"/>
      <c r="I121" s="176"/>
      <c r="J121" s="176"/>
    </row>
    <row r="122" spans="1:10" ht="12.75">
      <c r="A122" s="176"/>
      <c r="B122" s="176"/>
      <c r="C122" s="176"/>
      <c r="D122" s="176"/>
      <c r="E122" s="176"/>
      <c r="F122" s="176"/>
      <c r="G122" s="176"/>
      <c r="H122" s="176"/>
      <c r="I122" s="176"/>
      <c r="J122" s="176"/>
    </row>
    <row r="123" spans="1:10" ht="12.75">
      <c r="A123" s="369" t="s">
        <v>272</v>
      </c>
      <c r="B123" s="370"/>
      <c r="C123" s="369" t="s">
        <v>273</v>
      </c>
      <c r="D123" s="370"/>
      <c r="E123" s="369" t="s">
        <v>274</v>
      </c>
      <c r="F123" s="370"/>
      <c r="G123" s="176"/>
      <c r="H123" s="176"/>
      <c r="I123" s="176"/>
      <c r="J123" s="176"/>
    </row>
    <row r="124" spans="1:10" ht="12.75">
      <c r="A124" s="369">
        <v>2015</v>
      </c>
      <c r="B124" s="370"/>
      <c r="C124" s="400">
        <f>+'Quadro de Receitas'!E23</f>
        <v>0</v>
      </c>
      <c r="D124" s="372"/>
      <c r="E124" s="401">
        <v>0</v>
      </c>
      <c r="F124" s="374"/>
      <c r="G124" s="176"/>
      <c r="H124" s="176"/>
      <c r="I124" s="176"/>
      <c r="J124" s="176"/>
    </row>
    <row r="125" spans="1:10" ht="12.75">
      <c r="A125" s="375">
        <v>2016</v>
      </c>
      <c r="B125" s="376"/>
      <c r="C125" s="402">
        <f>+'Quadro de Receitas'!F23</f>
        <v>0</v>
      </c>
      <c r="D125" s="378"/>
      <c r="E125" s="379">
        <v>0</v>
      </c>
      <c r="F125" s="380"/>
      <c r="G125" s="176"/>
      <c r="H125" s="176"/>
      <c r="I125" s="176"/>
      <c r="J125" s="176"/>
    </row>
    <row r="126" spans="1:10" ht="12.75">
      <c r="A126" s="375">
        <v>2017</v>
      </c>
      <c r="B126" s="376"/>
      <c r="C126" s="402">
        <f>+'Quadro de Receitas'!G23</f>
        <v>50000</v>
      </c>
      <c r="D126" s="378"/>
      <c r="E126" s="391" t="e">
        <f>(C126/(C125/100))-100</f>
        <v>#DIV/0!</v>
      </c>
      <c r="F126" s="380"/>
      <c r="G126" s="176"/>
      <c r="H126" s="176"/>
      <c r="I126" s="176"/>
      <c r="J126" s="176"/>
    </row>
    <row r="127" spans="1:10" ht="12.75">
      <c r="A127" s="375">
        <v>2018</v>
      </c>
      <c r="B127" s="376"/>
      <c r="C127" s="402">
        <f>+'Quadro de Receitas'!H23</f>
        <v>54535</v>
      </c>
      <c r="D127" s="378"/>
      <c r="E127" s="379">
        <f>(C127/(C126/100))-100</f>
        <v>9.069999999999993</v>
      </c>
      <c r="F127" s="380"/>
      <c r="G127" s="176"/>
      <c r="H127" s="176"/>
      <c r="I127" s="176"/>
      <c r="J127" s="176"/>
    </row>
    <row r="128" spans="1:10" ht="12.75">
      <c r="A128" s="375">
        <v>2019</v>
      </c>
      <c r="B128" s="376"/>
      <c r="C128" s="402">
        <f>+'Quadro de Receitas'!I23</f>
        <v>58079.774999999994</v>
      </c>
      <c r="D128" s="404"/>
      <c r="E128" s="379">
        <f>(C128/(C127/100))-100</f>
        <v>6.499999999999986</v>
      </c>
      <c r="F128" s="380"/>
      <c r="G128" s="176"/>
      <c r="H128" s="176"/>
      <c r="I128" s="176"/>
      <c r="J128" s="176"/>
    </row>
    <row r="129" spans="1:10" ht="12.75">
      <c r="A129" s="381">
        <v>2020</v>
      </c>
      <c r="B129" s="382"/>
      <c r="C129" s="405">
        <f>+'Quadro de Receitas'!J23</f>
        <v>61854.96037499999</v>
      </c>
      <c r="D129" s="406"/>
      <c r="E129" s="395">
        <f>(C129/(C128/100))-100</f>
        <v>6.499999999999986</v>
      </c>
      <c r="F129" s="386"/>
      <c r="G129" s="176"/>
      <c r="H129" s="176"/>
      <c r="I129" s="176"/>
      <c r="J129" s="176"/>
    </row>
    <row r="130" spans="1:10" ht="12.75">
      <c r="A130" s="268" t="s">
        <v>161</v>
      </c>
      <c r="B130" s="237"/>
      <c r="C130" s="237"/>
      <c r="D130" s="237"/>
      <c r="E130" s="237"/>
      <c r="F130" s="237"/>
      <c r="G130" s="237"/>
      <c r="H130" s="176"/>
      <c r="I130" s="176"/>
      <c r="J130" s="176"/>
    </row>
    <row r="131" spans="1:10" ht="12.75">
      <c r="A131" s="237" t="s">
        <v>384</v>
      </c>
      <c r="B131" s="237"/>
      <c r="C131" s="237"/>
      <c r="D131" s="237"/>
      <c r="E131" s="237"/>
      <c r="F131" s="237"/>
      <c r="G131" s="237"/>
      <c r="H131" s="176"/>
      <c r="I131" s="176"/>
      <c r="J131" s="176"/>
    </row>
    <row r="132" spans="1:10" ht="12.75">
      <c r="A132" s="237" t="s">
        <v>401</v>
      </c>
      <c r="B132" s="237"/>
      <c r="C132" s="237"/>
      <c r="D132" s="237"/>
      <c r="E132" s="237"/>
      <c r="F132" s="237"/>
      <c r="G132" s="237"/>
      <c r="H132" s="176"/>
      <c r="I132" s="176"/>
      <c r="J132" s="176"/>
    </row>
    <row r="133" spans="1:10" ht="12.75">
      <c r="A133" s="237" t="s">
        <v>385</v>
      </c>
      <c r="B133" s="237"/>
      <c r="C133" s="237"/>
      <c r="D133" s="237"/>
      <c r="E133" s="237"/>
      <c r="F133" s="237"/>
      <c r="G133" s="237"/>
      <c r="H133" s="176"/>
      <c r="I133" s="176"/>
      <c r="J133" s="176"/>
    </row>
    <row r="134" spans="1:10" ht="12.75">
      <c r="A134" s="237"/>
      <c r="B134" s="237"/>
      <c r="C134" s="237"/>
      <c r="D134" s="237"/>
      <c r="E134" s="237"/>
      <c r="F134" s="237"/>
      <c r="G134" s="237"/>
      <c r="H134" s="176"/>
      <c r="I134" s="176"/>
      <c r="J134" s="176"/>
    </row>
    <row r="135" spans="1:10" ht="12.75">
      <c r="A135" s="237"/>
      <c r="B135" s="237"/>
      <c r="C135" s="237"/>
      <c r="D135" s="237"/>
      <c r="E135" s="237"/>
      <c r="F135" s="237"/>
      <c r="G135" s="237"/>
      <c r="H135" s="176"/>
      <c r="I135" s="176"/>
      <c r="J135" s="176"/>
    </row>
    <row r="136" spans="1:10" ht="12.75">
      <c r="A136" s="237"/>
      <c r="B136" s="237"/>
      <c r="C136" s="237"/>
      <c r="D136" s="237"/>
      <c r="E136" s="237"/>
      <c r="F136" s="237"/>
      <c r="G136" s="237"/>
      <c r="H136" s="176"/>
      <c r="I136" s="176"/>
      <c r="J136" s="176"/>
    </row>
    <row r="137" spans="1:10" ht="12.75">
      <c r="A137" s="237"/>
      <c r="B137" s="237"/>
      <c r="C137" s="237"/>
      <c r="D137" s="237"/>
      <c r="E137" s="237"/>
      <c r="F137" s="237"/>
      <c r="G137" s="237"/>
      <c r="H137" s="176"/>
      <c r="I137" s="176"/>
      <c r="J137" s="176"/>
    </row>
    <row r="138" spans="1:10" ht="12.75">
      <c r="A138" s="237"/>
      <c r="B138" s="237"/>
      <c r="C138" s="237"/>
      <c r="D138" s="237"/>
      <c r="E138" s="237"/>
      <c r="F138" s="237"/>
      <c r="G138" s="237"/>
      <c r="H138" s="176"/>
      <c r="I138" s="176"/>
      <c r="J138" s="176"/>
    </row>
    <row r="139" spans="1:10" ht="12.75">
      <c r="A139" s="176"/>
      <c r="B139" s="176"/>
      <c r="C139" s="349" t="s">
        <v>141</v>
      </c>
      <c r="D139" s="349"/>
      <c r="E139" s="349"/>
      <c r="F139" s="349"/>
      <c r="G139" s="349"/>
      <c r="H139" s="176"/>
      <c r="I139" s="176"/>
      <c r="J139" s="176"/>
    </row>
    <row r="140" spans="1:10" ht="15.75">
      <c r="A140" s="176"/>
      <c r="B140" s="251"/>
      <c r="C140" s="348" t="s">
        <v>166</v>
      </c>
      <c r="D140" s="348"/>
      <c r="E140" s="348"/>
      <c r="F140" s="348"/>
      <c r="G140" s="348"/>
      <c r="H140" s="348"/>
      <c r="I140" s="251"/>
      <c r="J140" s="176"/>
    </row>
    <row r="141" spans="1:10" ht="12.75">
      <c r="A141" s="176"/>
      <c r="B141" s="176"/>
      <c r="C141" s="349" t="s">
        <v>142</v>
      </c>
      <c r="D141" s="349"/>
      <c r="E141" s="349"/>
      <c r="F141" s="349"/>
      <c r="G141" s="349"/>
      <c r="H141" s="176"/>
      <c r="I141" s="176"/>
      <c r="J141" s="176"/>
    </row>
    <row r="142" spans="1:10" ht="12.75">
      <c r="A142" s="176"/>
      <c r="B142" s="176"/>
      <c r="C142" s="349" t="s">
        <v>246</v>
      </c>
      <c r="D142" s="349"/>
      <c r="E142" s="349"/>
      <c r="F142" s="349"/>
      <c r="G142" s="349"/>
      <c r="H142" s="349"/>
      <c r="I142" s="349"/>
      <c r="J142" s="176"/>
    </row>
    <row r="143" spans="1:10" ht="12.75">
      <c r="A143" s="176"/>
      <c r="B143" s="176"/>
      <c r="C143" s="349" t="s">
        <v>247</v>
      </c>
      <c r="D143" s="349"/>
      <c r="E143" s="349"/>
      <c r="F143" s="349"/>
      <c r="G143" s="349"/>
      <c r="H143" s="176"/>
      <c r="I143" s="176"/>
      <c r="J143" s="176"/>
    </row>
    <row r="144" spans="1:10" ht="12.75">
      <c r="A144" s="176"/>
      <c r="B144" s="176"/>
      <c r="C144" s="349" t="s">
        <v>248</v>
      </c>
      <c r="D144" s="349"/>
      <c r="E144" s="349"/>
      <c r="F144" s="349"/>
      <c r="G144" s="349"/>
      <c r="H144" s="176"/>
      <c r="I144" s="176"/>
      <c r="J144" s="176"/>
    </row>
    <row r="145" spans="1:10" ht="12.75">
      <c r="A145" s="252"/>
      <c r="B145" s="252"/>
      <c r="C145" s="252"/>
      <c r="D145" s="252"/>
      <c r="E145" s="252"/>
      <c r="F145" s="252"/>
      <c r="G145" s="252"/>
      <c r="H145" s="252"/>
      <c r="I145" s="252"/>
      <c r="J145" s="176"/>
    </row>
    <row r="146" spans="1:10" ht="12.75">
      <c r="A146" s="368" t="s">
        <v>279</v>
      </c>
      <c r="B146" s="368"/>
      <c r="C146" s="368"/>
      <c r="D146" s="176"/>
      <c r="E146" s="176"/>
      <c r="F146" s="176"/>
      <c r="G146" s="176"/>
      <c r="H146" s="176"/>
      <c r="I146" s="176"/>
      <c r="J146" s="176"/>
    </row>
    <row r="147" spans="1:10" ht="12.75">
      <c r="A147" s="176"/>
      <c r="B147" s="176"/>
      <c r="C147" s="176"/>
      <c r="D147" s="176"/>
      <c r="E147" s="176"/>
      <c r="F147" s="176"/>
      <c r="G147" s="176"/>
      <c r="H147" s="176"/>
      <c r="I147" s="176"/>
      <c r="J147" s="176"/>
    </row>
    <row r="148" spans="1:10" ht="12.75">
      <c r="A148" s="369" t="s">
        <v>272</v>
      </c>
      <c r="B148" s="370"/>
      <c r="C148" s="369" t="s">
        <v>273</v>
      </c>
      <c r="D148" s="370"/>
      <c r="E148" s="369" t="s">
        <v>274</v>
      </c>
      <c r="F148" s="370"/>
      <c r="G148" s="176"/>
      <c r="H148" s="176"/>
      <c r="I148" s="176"/>
      <c r="J148" s="176"/>
    </row>
    <row r="149" spans="1:10" ht="12.75">
      <c r="A149" s="369">
        <v>2015</v>
      </c>
      <c r="B149" s="370"/>
      <c r="C149" s="400">
        <f>+'Quadro de Receitas'!E24</f>
        <v>0</v>
      </c>
      <c r="D149" s="372"/>
      <c r="E149" s="401">
        <v>0</v>
      </c>
      <c r="F149" s="374"/>
      <c r="G149" s="176"/>
      <c r="H149" s="176"/>
      <c r="I149" s="176"/>
      <c r="J149" s="176"/>
    </row>
    <row r="150" spans="1:10" ht="12.75">
      <c r="A150" s="375">
        <v>2016</v>
      </c>
      <c r="B150" s="376"/>
      <c r="C150" s="377">
        <f>('Quadro de Receitas'!F24)</f>
        <v>0</v>
      </c>
      <c r="D150" s="378"/>
      <c r="E150" s="379">
        <v>0</v>
      </c>
      <c r="F150" s="380"/>
      <c r="G150" s="176"/>
      <c r="H150" s="176"/>
      <c r="I150" s="176"/>
      <c r="J150" s="176"/>
    </row>
    <row r="151" spans="1:10" ht="12.75">
      <c r="A151" s="375">
        <v>2017</v>
      </c>
      <c r="B151" s="376"/>
      <c r="C151" s="377">
        <f>('Quadro de Receitas'!G24)</f>
        <v>30000</v>
      </c>
      <c r="D151" s="378"/>
      <c r="E151" s="379">
        <v>0</v>
      </c>
      <c r="F151" s="380"/>
      <c r="G151" s="176"/>
      <c r="H151" s="176"/>
      <c r="I151" s="176"/>
      <c r="J151" s="176"/>
    </row>
    <row r="152" spans="1:10" ht="12.75">
      <c r="A152" s="375">
        <v>2018</v>
      </c>
      <c r="B152" s="376"/>
      <c r="C152" s="377">
        <f>('Quadro de Receitas'!H24)</f>
        <v>32721</v>
      </c>
      <c r="D152" s="378"/>
      <c r="E152" s="379">
        <f>(C152/(C151/100))-100</f>
        <v>9.069999999999993</v>
      </c>
      <c r="F152" s="380"/>
      <c r="G152" s="176"/>
      <c r="H152" s="176"/>
      <c r="I152" s="176"/>
      <c r="J152" s="176"/>
    </row>
    <row r="153" spans="1:10" ht="12.75">
      <c r="A153" s="375">
        <v>2019</v>
      </c>
      <c r="B153" s="376"/>
      <c r="C153" s="377">
        <f>('Quadro de Receitas'!I24)</f>
        <v>34847.865</v>
      </c>
      <c r="D153" s="378"/>
      <c r="E153" s="379">
        <f>(C153/(C152/100))-100</f>
        <v>6.5</v>
      </c>
      <c r="F153" s="380"/>
      <c r="G153" s="176"/>
      <c r="H153" s="176"/>
      <c r="I153" s="176"/>
      <c r="J153" s="176"/>
    </row>
    <row r="154" spans="1:10" ht="12.75">
      <c r="A154" s="381">
        <v>2020</v>
      </c>
      <c r="B154" s="382"/>
      <c r="C154" s="383">
        <f>+'Quadro de Receitas'!J24</f>
        <v>37112.976225</v>
      </c>
      <c r="D154" s="384"/>
      <c r="E154" s="395">
        <f>(C154/(C153/100))-100</f>
        <v>6.500000000000014</v>
      </c>
      <c r="F154" s="386"/>
      <c r="G154" s="176"/>
      <c r="H154" s="176"/>
      <c r="I154" s="176"/>
      <c r="J154" s="176"/>
    </row>
    <row r="155" spans="1:10" ht="12.75">
      <c r="A155" s="267" t="s">
        <v>161</v>
      </c>
      <c r="B155" s="269"/>
      <c r="C155" s="260"/>
      <c r="D155" s="260"/>
      <c r="E155" s="255"/>
      <c r="F155" s="255"/>
      <c r="G155" s="176"/>
      <c r="H155" s="176"/>
      <c r="I155" s="176"/>
      <c r="J155" s="176"/>
    </row>
    <row r="156" spans="1:10" ht="12.75">
      <c r="A156" s="237" t="s">
        <v>384</v>
      </c>
      <c r="B156" s="269"/>
      <c r="C156" s="260"/>
      <c r="D156" s="260"/>
      <c r="E156" s="255"/>
      <c r="F156" s="255"/>
      <c r="G156" s="176"/>
      <c r="H156" s="176"/>
      <c r="I156" s="176"/>
      <c r="J156" s="176"/>
    </row>
    <row r="157" spans="1:10" ht="12.75">
      <c r="A157" s="239" t="s">
        <v>386</v>
      </c>
      <c r="B157" s="269"/>
      <c r="C157" s="260"/>
      <c r="D157" s="260"/>
      <c r="E157" s="255"/>
      <c r="F157" s="255"/>
      <c r="G157" s="176"/>
      <c r="H157" s="176"/>
      <c r="I157" s="176"/>
      <c r="J157" s="176"/>
    </row>
    <row r="158" spans="1:10" ht="12.75">
      <c r="A158" s="269"/>
      <c r="B158" s="269"/>
      <c r="C158" s="260"/>
      <c r="D158" s="260"/>
      <c r="E158" s="255"/>
      <c r="F158" s="255"/>
      <c r="G158" s="176"/>
      <c r="H158" s="176"/>
      <c r="I158" s="176"/>
      <c r="J158" s="176"/>
    </row>
    <row r="159" spans="1:10" ht="12.75">
      <c r="A159" s="269"/>
      <c r="B159" s="269"/>
      <c r="C159" s="260"/>
      <c r="D159" s="260"/>
      <c r="E159" s="255"/>
      <c r="F159" s="255"/>
      <c r="G159" s="251"/>
      <c r="H159" s="251"/>
      <c r="I159" s="251"/>
      <c r="J159" s="251"/>
    </row>
    <row r="160" spans="1:10" ht="12.75">
      <c r="A160" s="270"/>
      <c r="B160" s="270"/>
      <c r="C160" s="261"/>
      <c r="D160" s="261"/>
      <c r="E160" s="262"/>
      <c r="F160" s="262"/>
      <c r="G160" s="252"/>
      <c r="H160" s="252"/>
      <c r="I160" s="252"/>
      <c r="J160" s="176"/>
    </row>
    <row r="161" spans="1:10" ht="12.75">
      <c r="A161" s="407" t="s">
        <v>280</v>
      </c>
      <c r="B161" s="407"/>
      <c r="C161" s="407"/>
      <c r="D161" s="176"/>
      <c r="E161" s="176"/>
      <c r="F161" s="176"/>
      <c r="G161" s="176"/>
      <c r="H161" s="176"/>
      <c r="I161" s="176"/>
      <c r="J161" s="176"/>
    </row>
    <row r="162" spans="1:10" ht="12.75">
      <c r="A162" s="176"/>
      <c r="B162" s="176"/>
      <c r="C162" s="176"/>
      <c r="D162" s="176"/>
      <c r="E162" s="176"/>
      <c r="F162" s="176"/>
      <c r="G162" s="176"/>
      <c r="H162" s="176"/>
      <c r="I162" s="176"/>
      <c r="J162" s="176"/>
    </row>
    <row r="163" spans="1:10" ht="12.75">
      <c r="A163" s="408" t="s">
        <v>272</v>
      </c>
      <c r="B163" s="409"/>
      <c r="C163" s="369" t="s">
        <v>273</v>
      </c>
      <c r="D163" s="370"/>
      <c r="E163" s="369" t="s">
        <v>274</v>
      </c>
      <c r="F163" s="370"/>
      <c r="G163" s="176"/>
      <c r="H163" s="176"/>
      <c r="I163" s="176"/>
      <c r="J163" s="176"/>
    </row>
    <row r="164" spans="1:10" ht="12.75">
      <c r="A164" s="369">
        <v>2015</v>
      </c>
      <c r="B164" s="370"/>
      <c r="C164" s="400">
        <f>+'Quadro de Receitas'!E26</f>
        <v>1248615.49</v>
      </c>
      <c r="D164" s="372"/>
      <c r="E164" s="373">
        <v>0</v>
      </c>
      <c r="F164" s="374"/>
      <c r="G164" s="176"/>
      <c r="H164" s="176"/>
      <c r="I164" s="176"/>
      <c r="J164" s="176"/>
    </row>
    <row r="165" spans="1:10" ht="12.75">
      <c r="A165" s="375">
        <v>2016</v>
      </c>
      <c r="B165" s="376"/>
      <c r="C165" s="402">
        <f>('Quadro de Receitas'!F26)</f>
        <v>1740732.81</v>
      </c>
      <c r="D165" s="377"/>
      <c r="E165" s="391">
        <v>0</v>
      </c>
      <c r="F165" s="380"/>
      <c r="G165" s="176"/>
      <c r="H165" s="176"/>
      <c r="I165" s="176"/>
      <c r="J165" s="176"/>
    </row>
    <row r="166" spans="1:10" ht="12.75">
      <c r="A166" s="375">
        <v>2017</v>
      </c>
      <c r="B166" s="376"/>
      <c r="C166" s="402">
        <f>('Quadro de Receitas'!G26)</f>
        <v>1815000</v>
      </c>
      <c r="D166" s="377"/>
      <c r="E166" s="391">
        <f>(C166/(C165/100))-100</f>
        <v>4.266432480238024</v>
      </c>
      <c r="F166" s="380"/>
      <c r="G166" s="176"/>
      <c r="H166" s="176"/>
      <c r="I166" s="176"/>
      <c r="J166" s="176"/>
    </row>
    <row r="167" spans="1:10" ht="12.75">
      <c r="A167" s="375">
        <v>2018</v>
      </c>
      <c r="B167" s="376"/>
      <c r="C167" s="402">
        <f>('Quadro de Receitas'!H26)</f>
        <v>1979620.5</v>
      </c>
      <c r="D167" s="377"/>
      <c r="E167" s="391">
        <f>(C167/(C166/100))-100</f>
        <v>9.069999999999993</v>
      </c>
      <c r="F167" s="380"/>
      <c r="G167" s="176"/>
      <c r="H167" s="176"/>
      <c r="I167" s="176"/>
      <c r="J167" s="176"/>
    </row>
    <row r="168" spans="1:10" ht="12.75">
      <c r="A168" s="375">
        <v>2019</v>
      </c>
      <c r="B168" s="376"/>
      <c r="C168" s="402">
        <f>('Quadro de Receitas'!I26)</f>
        <v>2108295.8325</v>
      </c>
      <c r="D168" s="377"/>
      <c r="E168" s="391">
        <f>(C168/(C167/100))-100</f>
        <v>6.499999999999986</v>
      </c>
      <c r="F168" s="380"/>
      <c r="G168" s="176"/>
      <c r="H168" s="176"/>
      <c r="I168" s="176"/>
      <c r="J168" s="176"/>
    </row>
    <row r="169" spans="1:10" ht="12.75">
      <c r="A169" s="381">
        <v>2020</v>
      </c>
      <c r="B169" s="382"/>
      <c r="C169" s="399">
        <f>+'Quadro de Receitas'!J26</f>
        <v>2245335.0616125</v>
      </c>
      <c r="D169" s="383"/>
      <c r="E169" s="385">
        <f>(C169/(C168/100))-100</f>
        <v>6.5</v>
      </c>
      <c r="F169" s="386"/>
      <c r="G169" s="176"/>
      <c r="H169" s="176"/>
      <c r="I169" s="176"/>
      <c r="J169" s="176"/>
    </row>
    <row r="170" spans="1:10" ht="12.75">
      <c r="A170" s="176"/>
      <c r="B170" s="176"/>
      <c r="C170" s="176"/>
      <c r="D170" s="176"/>
      <c r="E170" s="176"/>
      <c r="F170" s="176"/>
      <c r="G170" s="176"/>
      <c r="H170" s="176"/>
      <c r="I170" s="176"/>
      <c r="J170" s="176"/>
    </row>
    <row r="171" spans="1:10" ht="12.75">
      <c r="A171" s="256" t="s">
        <v>161</v>
      </c>
      <c r="B171" s="176"/>
      <c r="C171" s="176"/>
      <c r="D171" s="176"/>
      <c r="E171" s="176"/>
      <c r="F171" s="176"/>
      <c r="G171" s="176"/>
      <c r="H171" s="176"/>
      <c r="I171" s="176"/>
      <c r="J171" s="176"/>
    </row>
    <row r="172" spans="1:10" ht="12.75">
      <c r="A172" s="176" t="s">
        <v>387</v>
      </c>
      <c r="B172" s="176"/>
      <c r="C172" s="176"/>
      <c r="D172" s="176"/>
      <c r="E172" s="176"/>
      <c r="F172" s="176"/>
      <c r="G172" s="176"/>
      <c r="H172" s="176"/>
      <c r="I172" s="176"/>
      <c r="J172" s="176"/>
    </row>
    <row r="173" spans="1:10" ht="12.75">
      <c r="A173" s="176" t="s">
        <v>388</v>
      </c>
      <c r="B173" s="176"/>
      <c r="C173" s="176"/>
      <c r="D173" s="176"/>
      <c r="E173" s="176"/>
      <c r="F173" s="176"/>
      <c r="G173" s="176"/>
      <c r="H173" s="176"/>
      <c r="I173" s="176"/>
      <c r="J173" s="176"/>
    </row>
    <row r="174" spans="1:10" ht="12.75">
      <c r="A174" s="176"/>
      <c r="B174" s="176"/>
      <c r="C174" s="176"/>
      <c r="D174" s="176"/>
      <c r="E174" s="176"/>
      <c r="F174" s="176"/>
      <c r="G174" s="176"/>
      <c r="H174" s="176"/>
      <c r="I174" s="176"/>
      <c r="J174" s="176"/>
    </row>
    <row r="175" spans="1:10" ht="12.75">
      <c r="A175" s="176"/>
      <c r="B175" s="176"/>
      <c r="C175" s="176"/>
      <c r="D175" s="176"/>
      <c r="E175" s="176"/>
      <c r="F175" s="176"/>
      <c r="G175" s="176"/>
      <c r="H175" s="176"/>
      <c r="I175" s="176"/>
      <c r="J175" s="176"/>
    </row>
    <row r="176" spans="1:10" ht="12.75">
      <c r="A176" s="256"/>
      <c r="B176" s="176"/>
      <c r="C176" s="176"/>
      <c r="D176" s="252"/>
      <c r="E176" s="252"/>
      <c r="F176" s="252"/>
      <c r="G176" s="252"/>
      <c r="H176" s="252"/>
      <c r="I176" s="252"/>
      <c r="J176" s="176"/>
    </row>
    <row r="177" spans="1:10" ht="12.75">
      <c r="A177" s="396" t="s">
        <v>195</v>
      </c>
      <c r="B177" s="396"/>
      <c r="C177" s="396"/>
      <c r="D177" s="251"/>
      <c r="E177" s="407"/>
      <c r="F177" s="407"/>
      <c r="G177" s="407"/>
      <c r="H177" s="251"/>
      <c r="I177" s="251"/>
      <c r="J177" s="176"/>
    </row>
    <row r="178" spans="1:10" ht="12.75">
      <c r="A178" s="176"/>
      <c r="B178" s="176"/>
      <c r="C178" s="176"/>
      <c r="D178" s="176"/>
      <c r="E178" s="176"/>
      <c r="F178" s="176"/>
      <c r="G178" s="176"/>
      <c r="H178" s="176"/>
      <c r="I178" s="176"/>
      <c r="J178" s="176"/>
    </row>
    <row r="179" spans="1:10" ht="12.75">
      <c r="A179" s="408" t="s">
        <v>272</v>
      </c>
      <c r="B179" s="409"/>
      <c r="C179" s="369" t="s">
        <v>273</v>
      </c>
      <c r="D179" s="370"/>
      <c r="E179" s="369" t="s">
        <v>274</v>
      </c>
      <c r="F179" s="370"/>
      <c r="G179" s="176"/>
      <c r="H179" s="176"/>
      <c r="I179" s="176"/>
      <c r="J179" s="176"/>
    </row>
    <row r="180" spans="1:10" ht="12.75">
      <c r="A180" s="369">
        <v>2015</v>
      </c>
      <c r="B180" s="370"/>
      <c r="C180" s="400">
        <f>'Quadro de Receitas'!E27</f>
        <v>0</v>
      </c>
      <c r="D180" s="371"/>
      <c r="E180" s="373">
        <v>0</v>
      </c>
      <c r="F180" s="374"/>
      <c r="G180" s="176"/>
      <c r="H180" s="176"/>
      <c r="I180" s="176"/>
      <c r="J180" s="176"/>
    </row>
    <row r="181" spans="1:10" ht="12.75">
      <c r="A181" s="375">
        <v>2016</v>
      </c>
      <c r="B181" s="376"/>
      <c r="C181" s="402">
        <f>+'Quadro de Receitas'!F27</f>
        <v>0</v>
      </c>
      <c r="D181" s="377"/>
      <c r="E181" s="391">
        <v>0</v>
      </c>
      <c r="F181" s="380"/>
      <c r="G181" s="176"/>
      <c r="H181" s="176"/>
      <c r="I181" s="176"/>
      <c r="J181" s="176"/>
    </row>
    <row r="182" spans="1:10" ht="12.75">
      <c r="A182" s="375">
        <v>2017</v>
      </c>
      <c r="B182" s="376"/>
      <c r="C182" s="402">
        <f>'Quadro de Receitas'!G27</f>
        <v>0</v>
      </c>
      <c r="D182" s="377"/>
      <c r="E182" s="373">
        <v>0</v>
      </c>
      <c r="F182" s="374"/>
      <c r="G182" s="176"/>
      <c r="H182" s="176"/>
      <c r="I182" s="176"/>
      <c r="J182" s="176"/>
    </row>
    <row r="183" spans="1:10" ht="12.75">
      <c r="A183" s="375">
        <v>2018</v>
      </c>
      <c r="B183" s="376"/>
      <c r="C183" s="402">
        <f>'Quadro de Receitas'!H27</f>
        <v>0</v>
      </c>
      <c r="D183" s="377"/>
      <c r="E183" s="391">
        <v>0</v>
      </c>
      <c r="F183" s="380"/>
      <c r="G183" s="176"/>
      <c r="H183" s="176"/>
      <c r="I183" s="176"/>
      <c r="J183" s="176"/>
    </row>
    <row r="184" spans="1:10" ht="12.75">
      <c r="A184" s="375">
        <v>2019</v>
      </c>
      <c r="B184" s="376"/>
      <c r="C184" s="402">
        <f>+'Quadro de Receitas'!I27</f>
        <v>0</v>
      </c>
      <c r="D184" s="377"/>
      <c r="E184" s="373">
        <v>0</v>
      </c>
      <c r="F184" s="374"/>
      <c r="G184" s="176"/>
      <c r="H184" s="176"/>
      <c r="I184" s="176"/>
      <c r="J184" s="176"/>
    </row>
    <row r="185" spans="1:10" ht="12.75">
      <c r="A185" s="381">
        <v>2020</v>
      </c>
      <c r="B185" s="382"/>
      <c r="C185" s="399">
        <f>+'Quadro de Receitas'!J27</f>
        <v>0</v>
      </c>
      <c r="D185" s="383"/>
      <c r="E185" s="391">
        <v>0</v>
      </c>
      <c r="F185" s="380"/>
      <c r="G185" s="176"/>
      <c r="H185" s="176"/>
      <c r="I185" s="176"/>
      <c r="J185" s="176"/>
    </row>
    <row r="186" spans="1:10" ht="12.75">
      <c r="A186" s="176"/>
      <c r="B186" s="176"/>
      <c r="C186" s="176"/>
      <c r="D186" s="176"/>
      <c r="E186" s="176"/>
      <c r="F186" s="176"/>
      <c r="G186" s="176"/>
      <c r="H186" s="176"/>
      <c r="I186" s="176"/>
      <c r="J186" s="176"/>
    </row>
    <row r="187" spans="1:10" ht="12.75">
      <c r="A187" s="267" t="s">
        <v>161</v>
      </c>
      <c r="B187" s="176"/>
      <c r="C187" s="176"/>
      <c r="D187" s="176"/>
      <c r="E187" s="176"/>
      <c r="F187" s="176"/>
      <c r="G187" s="176"/>
      <c r="H187" s="176"/>
      <c r="I187" s="176"/>
      <c r="J187" s="176"/>
    </row>
    <row r="188" spans="1:10" ht="12.75">
      <c r="A188" s="237" t="s">
        <v>384</v>
      </c>
      <c r="B188" s="176"/>
      <c r="C188" s="176"/>
      <c r="D188" s="176"/>
      <c r="E188" s="176"/>
      <c r="F188" s="176"/>
      <c r="G188" s="176"/>
      <c r="H188" s="176"/>
      <c r="I188" s="176"/>
      <c r="J188" s="176"/>
    </row>
    <row r="189" spans="1:10" ht="12.75">
      <c r="A189" s="239" t="s">
        <v>386</v>
      </c>
      <c r="B189" s="176"/>
      <c r="C189" s="176"/>
      <c r="D189" s="176"/>
      <c r="E189" s="176"/>
      <c r="F189" s="176"/>
      <c r="G189" s="176"/>
      <c r="H189" s="176"/>
      <c r="I189" s="176"/>
      <c r="J189" s="176"/>
    </row>
    <row r="190" spans="1:10" ht="12.75">
      <c r="A190" s="176"/>
      <c r="B190" s="176"/>
      <c r="C190" s="176"/>
      <c r="D190" s="176"/>
      <c r="E190" s="176"/>
      <c r="F190" s="176"/>
      <c r="G190" s="176"/>
      <c r="H190" s="176"/>
      <c r="I190" s="176"/>
      <c r="J190" s="176"/>
    </row>
  </sheetData>
  <sheetProtection/>
  <mergeCells count="257">
    <mergeCell ref="A185:B185"/>
    <mergeCell ref="C185:D185"/>
    <mergeCell ref="E185:F185"/>
    <mergeCell ref="A183:B183"/>
    <mergeCell ref="C183:D183"/>
    <mergeCell ref="E183:F183"/>
    <mergeCell ref="A184:B184"/>
    <mergeCell ref="C184:D184"/>
    <mergeCell ref="E184:F184"/>
    <mergeCell ref="A181:B181"/>
    <mergeCell ref="C181:D181"/>
    <mergeCell ref="E181:F181"/>
    <mergeCell ref="A182:B182"/>
    <mergeCell ref="C182:D182"/>
    <mergeCell ref="E182:F182"/>
    <mergeCell ref="A177:C177"/>
    <mergeCell ref="E177:G177"/>
    <mergeCell ref="A179:B179"/>
    <mergeCell ref="C179:D179"/>
    <mergeCell ref="E179:F179"/>
    <mergeCell ref="A180:B180"/>
    <mergeCell ref="C180:D180"/>
    <mergeCell ref="E180:F180"/>
    <mergeCell ref="A168:B168"/>
    <mergeCell ref="C168:D168"/>
    <mergeCell ref="E168:F168"/>
    <mergeCell ref="A169:B169"/>
    <mergeCell ref="C169:D169"/>
    <mergeCell ref="E169:F169"/>
    <mergeCell ref="A166:B166"/>
    <mergeCell ref="C166:D166"/>
    <mergeCell ref="E166:F166"/>
    <mergeCell ref="A167:B167"/>
    <mergeCell ref="C167:D167"/>
    <mergeCell ref="E167:F167"/>
    <mergeCell ref="A164:B164"/>
    <mergeCell ref="C164:D164"/>
    <mergeCell ref="E164:F164"/>
    <mergeCell ref="A165:B165"/>
    <mergeCell ref="C165:D165"/>
    <mergeCell ref="E165:F165"/>
    <mergeCell ref="A154:B154"/>
    <mergeCell ref="C154:D154"/>
    <mergeCell ref="E154:F154"/>
    <mergeCell ref="A161:C161"/>
    <mergeCell ref="A163:B163"/>
    <mergeCell ref="C163:D163"/>
    <mergeCell ref="E163:F163"/>
    <mergeCell ref="A152:B152"/>
    <mergeCell ref="C152:D152"/>
    <mergeCell ref="E152:F152"/>
    <mergeCell ref="A153:B153"/>
    <mergeCell ref="C153:D153"/>
    <mergeCell ref="E153:F153"/>
    <mergeCell ref="A150:B150"/>
    <mergeCell ref="C150:D150"/>
    <mergeCell ref="E150:F150"/>
    <mergeCell ref="A151:B151"/>
    <mergeCell ref="C151:D151"/>
    <mergeCell ref="E151:F151"/>
    <mergeCell ref="A146:C146"/>
    <mergeCell ref="A148:B148"/>
    <mergeCell ref="C148:D148"/>
    <mergeCell ref="E148:F148"/>
    <mergeCell ref="A149:B149"/>
    <mergeCell ref="C149:D149"/>
    <mergeCell ref="E149:F149"/>
    <mergeCell ref="C140:H140"/>
    <mergeCell ref="C139:G139"/>
    <mergeCell ref="C141:G141"/>
    <mergeCell ref="C142:I142"/>
    <mergeCell ref="C143:G143"/>
    <mergeCell ref="C144:G144"/>
    <mergeCell ref="A128:B128"/>
    <mergeCell ref="C128:D128"/>
    <mergeCell ref="E128:F128"/>
    <mergeCell ref="A129:B129"/>
    <mergeCell ref="C129:D129"/>
    <mergeCell ref="E129:F129"/>
    <mergeCell ref="A126:B126"/>
    <mergeCell ref="C126:D126"/>
    <mergeCell ref="E126:F126"/>
    <mergeCell ref="A127:B127"/>
    <mergeCell ref="C127:D127"/>
    <mergeCell ref="E127:F127"/>
    <mergeCell ref="A124:B124"/>
    <mergeCell ref="C124:D124"/>
    <mergeCell ref="E124:F124"/>
    <mergeCell ref="A125:B125"/>
    <mergeCell ref="C125:D125"/>
    <mergeCell ref="E125:F125"/>
    <mergeCell ref="A115:B115"/>
    <mergeCell ref="C115:D115"/>
    <mergeCell ref="E115:F115"/>
    <mergeCell ref="A121:C121"/>
    <mergeCell ref="A123:B123"/>
    <mergeCell ref="C123:D123"/>
    <mergeCell ref="E123:F123"/>
    <mergeCell ref="A113:B113"/>
    <mergeCell ref="C113:D113"/>
    <mergeCell ref="E113:F113"/>
    <mergeCell ref="A114:B114"/>
    <mergeCell ref="C114:D114"/>
    <mergeCell ref="E114:F114"/>
    <mergeCell ref="A111:B111"/>
    <mergeCell ref="C111:D111"/>
    <mergeCell ref="E111:F111"/>
    <mergeCell ref="A112:B112"/>
    <mergeCell ref="C112:D112"/>
    <mergeCell ref="E112:F112"/>
    <mergeCell ref="A109:B109"/>
    <mergeCell ref="C109:D109"/>
    <mergeCell ref="E109:F109"/>
    <mergeCell ref="A110:B110"/>
    <mergeCell ref="C110:D110"/>
    <mergeCell ref="E110:F110"/>
    <mergeCell ref="A103:B103"/>
    <mergeCell ref="C103:D103"/>
    <mergeCell ref="E103:F103"/>
    <mergeCell ref="A104:B104"/>
    <mergeCell ref="C104:D104"/>
    <mergeCell ref="E104:F104"/>
    <mergeCell ref="A101:B101"/>
    <mergeCell ref="C101:D101"/>
    <mergeCell ref="E101:F101"/>
    <mergeCell ref="A102:B102"/>
    <mergeCell ref="C102:D102"/>
    <mergeCell ref="E102:F102"/>
    <mergeCell ref="A98:B98"/>
    <mergeCell ref="C98:D98"/>
    <mergeCell ref="E98:F98"/>
    <mergeCell ref="A99:B99"/>
    <mergeCell ref="C99:D99"/>
    <mergeCell ref="A100:B100"/>
    <mergeCell ref="C100:D100"/>
    <mergeCell ref="E100:F100"/>
    <mergeCell ref="A89:B89"/>
    <mergeCell ref="C89:D89"/>
    <mergeCell ref="E89:F89"/>
    <mergeCell ref="A90:B90"/>
    <mergeCell ref="C90:D90"/>
    <mergeCell ref="E90:F90"/>
    <mergeCell ref="A87:B87"/>
    <mergeCell ref="C87:D87"/>
    <mergeCell ref="E87:F87"/>
    <mergeCell ref="A88:B88"/>
    <mergeCell ref="C88:D88"/>
    <mergeCell ref="E88:F88"/>
    <mergeCell ref="A85:B85"/>
    <mergeCell ref="C85:D85"/>
    <mergeCell ref="E85:F85"/>
    <mergeCell ref="A86:B86"/>
    <mergeCell ref="C86:D86"/>
    <mergeCell ref="E86:F86"/>
    <mergeCell ref="A74:B74"/>
    <mergeCell ref="C74:D74"/>
    <mergeCell ref="E74:F74"/>
    <mergeCell ref="A78:I78"/>
    <mergeCell ref="A82:C82"/>
    <mergeCell ref="A84:B84"/>
    <mergeCell ref="C84:D84"/>
    <mergeCell ref="E84:F84"/>
    <mergeCell ref="A72:B72"/>
    <mergeCell ref="C72:D72"/>
    <mergeCell ref="E72:F72"/>
    <mergeCell ref="A73:B73"/>
    <mergeCell ref="C73:D73"/>
    <mergeCell ref="E73:F73"/>
    <mergeCell ref="A70:B70"/>
    <mergeCell ref="C70:D70"/>
    <mergeCell ref="E70:F70"/>
    <mergeCell ref="A71:B71"/>
    <mergeCell ref="C71:D71"/>
    <mergeCell ref="E71:F71"/>
    <mergeCell ref="A66:C66"/>
    <mergeCell ref="A68:B68"/>
    <mergeCell ref="C68:D68"/>
    <mergeCell ref="E68:F68"/>
    <mergeCell ref="A69:B69"/>
    <mergeCell ref="C69:D69"/>
    <mergeCell ref="E69:F69"/>
    <mergeCell ref="C60:H60"/>
    <mergeCell ref="C59:G59"/>
    <mergeCell ref="C61:G61"/>
    <mergeCell ref="C62:I62"/>
    <mergeCell ref="C63:G63"/>
    <mergeCell ref="C64:G64"/>
    <mergeCell ref="A47:B47"/>
    <mergeCell ref="C47:D47"/>
    <mergeCell ref="E47:F47"/>
    <mergeCell ref="A48:B48"/>
    <mergeCell ref="C48:D48"/>
    <mergeCell ref="E48:F48"/>
    <mergeCell ref="A45:B45"/>
    <mergeCell ref="C45:D45"/>
    <mergeCell ref="E45:F45"/>
    <mergeCell ref="A46:B46"/>
    <mergeCell ref="C46:D46"/>
    <mergeCell ref="E46:F46"/>
    <mergeCell ref="A43:B43"/>
    <mergeCell ref="C43:D43"/>
    <mergeCell ref="E43:F43"/>
    <mergeCell ref="A44:B44"/>
    <mergeCell ref="C44:D44"/>
    <mergeCell ref="E44:F44"/>
    <mergeCell ref="A32:B32"/>
    <mergeCell ref="C32:D32"/>
    <mergeCell ref="E32:F32"/>
    <mergeCell ref="A40:C40"/>
    <mergeCell ref="A42:B42"/>
    <mergeCell ref="C42:D42"/>
    <mergeCell ref="E42:F42"/>
    <mergeCell ref="A30:B30"/>
    <mergeCell ref="C30:D30"/>
    <mergeCell ref="E30:F30"/>
    <mergeCell ref="A31:B31"/>
    <mergeCell ref="C31:D31"/>
    <mergeCell ref="E31:F31"/>
    <mergeCell ref="A27:B27"/>
    <mergeCell ref="C27:D27"/>
    <mergeCell ref="A28:B28"/>
    <mergeCell ref="C28:D28"/>
    <mergeCell ref="E28:F28"/>
    <mergeCell ref="A29:B29"/>
    <mergeCell ref="C29:D29"/>
    <mergeCell ref="E29:F29"/>
    <mergeCell ref="A16:B16"/>
    <mergeCell ref="C16:D16"/>
    <mergeCell ref="E16:F16"/>
    <mergeCell ref="A26:B26"/>
    <mergeCell ref="C26:D26"/>
    <mergeCell ref="E26:F26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8:B8"/>
    <mergeCell ref="A10:B10"/>
    <mergeCell ref="C10:D10"/>
    <mergeCell ref="E10:F10"/>
    <mergeCell ref="A11:B11"/>
    <mergeCell ref="C11:D11"/>
    <mergeCell ref="E11:F11"/>
    <mergeCell ref="C1:G1"/>
    <mergeCell ref="C3:G3"/>
    <mergeCell ref="C4:I4"/>
    <mergeCell ref="C5:G5"/>
    <mergeCell ref="C6:G6"/>
    <mergeCell ref="C2:G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9"/>
  <sheetViews>
    <sheetView zoomScalePageLayoutView="0" workbookViewId="0" topLeftCell="A1">
      <selection activeCell="G45" sqref="G45"/>
    </sheetView>
  </sheetViews>
  <sheetFormatPr defaultColWidth="9.140625" defaultRowHeight="12.75"/>
  <cols>
    <col min="4" max="4" width="18.57421875" style="0" customWidth="1"/>
    <col min="5" max="10" width="12.7109375" style="0" customWidth="1"/>
  </cols>
  <sheetData>
    <row r="1" spans="2:6" ht="12.75">
      <c r="B1" s="349" t="s">
        <v>141</v>
      </c>
      <c r="C1" s="349"/>
      <c r="D1" s="349"/>
      <c r="E1" s="349"/>
      <c r="F1" s="349"/>
    </row>
    <row r="2" spans="2:6" ht="15.75">
      <c r="B2" s="348" t="s">
        <v>166</v>
      </c>
      <c r="C2" s="348"/>
      <c r="D2" s="348"/>
      <c r="E2" s="348"/>
      <c r="F2" s="348"/>
    </row>
    <row r="3" spans="2:6" ht="12.75">
      <c r="B3" s="349" t="s">
        <v>142</v>
      </c>
      <c r="C3" s="349"/>
      <c r="D3" s="349"/>
      <c r="E3" s="349"/>
      <c r="F3" s="349"/>
    </row>
    <row r="4" spans="2:8" ht="12.75">
      <c r="B4" s="349" t="s">
        <v>246</v>
      </c>
      <c r="C4" s="349"/>
      <c r="D4" s="349"/>
      <c r="E4" s="349"/>
      <c r="F4" s="349"/>
      <c r="G4" s="349"/>
      <c r="H4" s="349"/>
    </row>
    <row r="5" spans="2:9" ht="12.75">
      <c r="B5" s="349" t="s">
        <v>281</v>
      </c>
      <c r="C5" s="349"/>
      <c r="D5" s="349"/>
      <c r="E5" s="349"/>
      <c r="F5" s="349"/>
      <c r="I5" s="271"/>
    </row>
    <row r="6" spans="2:6" ht="12.75">
      <c r="B6" s="349" t="s">
        <v>248</v>
      </c>
      <c r="C6" s="349"/>
      <c r="D6" s="349"/>
      <c r="E6" s="349"/>
      <c r="F6" s="349"/>
    </row>
    <row r="7" spans="1:10" ht="12.75">
      <c r="A7" s="176"/>
      <c r="B7" s="176"/>
      <c r="C7" s="176"/>
      <c r="D7" s="176"/>
      <c r="E7" s="176"/>
      <c r="F7" s="176"/>
      <c r="G7" s="176"/>
      <c r="H7" s="176"/>
      <c r="I7" s="176"/>
      <c r="J7" s="176"/>
    </row>
    <row r="8" spans="1:10" ht="12.75">
      <c r="A8" s="410" t="s">
        <v>282</v>
      </c>
      <c r="B8" s="411"/>
      <c r="C8" s="411"/>
      <c r="D8" s="412"/>
      <c r="E8" s="351" t="s">
        <v>283</v>
      </c>
      <c r="F8" s="352"/>
      <c r="G8" s="161" t="s">
        <v>250</v>
      </c>
      <c r="H8" s="351" t="s">
        <v>284</v>
      </c>
      <c r="I8" s="413"/>
      <c r="J8" s="352"/>
    </row>
    <row r="9" spans="1:10" ht="12.75">
      <c r="A9" s="414" t="s">
        <v>285</v>
      </c>
      <c r="B9" s="415"/>
      <c r="C9" s="415"/>
      <c r="D9" s="416"/>
      <c r="E9" s="161">
        <v>2015</v>
      </c>
      <c r="F9" s="272">
        <v>2016</v>
      </c>
      <c r="G9" s="272">
        <v>2017</v>
      </c>
      <c r="H9" s="272">
        <v>2018</v>
      </c>
      <c r="I9" s="272">
        <v>2019</v>
      </c>
      <c r="J9" s="272">
        <v>2020</v>
      </c>
    </row>
    <row r="10" spans="1:10" ht="12.75">
      <c r="A10" s="353" t="s">
        <v>286</v>
      </c>
      <c r="B10" s="354"/>
      <c r="C10" s="354"/>
      <c r="D10" s="417"/>
      <c r="E10" s="273">
        <f aca="true" t="shared" si="0" ref="E10:J10">SUM(E11:E14)</f>
        <v>18645255.63</v>
      </c>
      <c r="F10" s="273">
        <f t="shared" si="0"/>
        <v>19911569.07</v>
      </c>
      <c r="G10" s="274">
        <f>SUM(G11:G14)</f>
        <v>24367022</v>
      </c>
      <c r="H10" s="273">
        <f>SUM(H11:H14)</f>
        <v>26577110.8954</v>
      </c>
      <c r="I10" s="273">
        <f t="shared" si="0"/>
        <v>28304623.103600994</v>
      </c>
      <c r="J10" s="273">
        <f t="shared" si="0"/>
        <v>30144423.60533506</v>
      </c>
    </row>
    <row r="11" spans="1:10" ht="12.75">
      <c r="A11" s="355" t="s">
        <v>287</v>
      </c>
      <c r="B11" s="356"/>
      <c r="C11" s="356"/>
      <c r="D11" s="418"/>
      <c r="E11" s="276">
        <v>12787713.12</v>
      </c>
      <c r="F11" s="277">
        <v>13347470.23</v>
      </c>
      <c r="G11" s="327">
        <v>15591902</v>
      </c>
      <c r="H11" s="276">
        <f>G11*1.0907</f>
        <v>17006087.5114</v>
      </c>
      <c r="I11" s="276">
        <f aca="true" t="shared" si="1" ref="I11:J13">H11*1.065</f>
        <v>18111483.199640997</v>
      </c>
      <c r="J11" s="276">
        <f t="shared" si="1"/>
        <v>19288729.60761766</v>
      </c>
    </row>
    <row r="12" spans="1:10" ht="12.75">
      <c r="A12" s="328" t="s">
        <v>288</v>
      </c>
      <c r="B12" s="239"/>
      <c r="C12" s="239"/>
      <c r="D12" s="275"/>
      <c r="E12" s="276">
        <v>0</v>
      </c>
      <c r="F12" s="277">
        <v>0</v>
      </c>
      <c r="G12" s="327">
        <v>0</v>
      </c>
      <c r="H12" s="276">
        <f>G12*1.0907</f>
        <v>0</v>
      </c>
      <c r="I12" s="276">
        <f t="shared" si="1"/>
        <v>0</v>
      </c>
      <c r="J12" s="276">
        <f t="shared" si="1"/>
        <v>0</v>
      </c>
    </row>
    <row r="13" spans="1:10" ht="12.75">
      <c r="A13" s="355" t="s">
        <v>289</v>
      </c>
      <c r="B13" s="356"/>
      <c r="C13" s="356"/>
      <c r="D13" s="418"/>
      <c r="E13" s="276">
        <v>21693.02</v>
      </c>
      <c r="F13" s="277">
        <v>35900.91</v>
      </c>
      <c r="G13" s="327">
        <v>46000</v>
      </c>
      <c r="H13" s="276">
        <f>G13*1.0907</f>
        <v>50172.2</v>
      </c>
      <c r="I13" s="276">
        <f t="shared" si="1"/>
        <v>53433.393</v>
      </c>
      <c r="J13" s="276">
        <f t="shared" si="1"/>
        <v>56906.56354499999</v>
      </c>
    </row>
    <row r="14" spans="1:10" ht="12.75">
      <c r="A14" s="355" t="s">
        <v>290</v>
      </c>
      <c r="B14" s="356"/>
      <c r="C14" s="356"/>
      <c r="D14" s="418"/>
      <c r="E14" s="276">
        <v>5835849.49</v>
      </c>
      <c r="F14" s="277">
        <v>6528197.93</v>
      </c>
      <c r="G14" s="327">
        <v>8729120</v>
      </c>
      <c r="H14" s="276">
        <f>G14*1.0907</f>
        <v>9520851.184</v>
      </c>
      <c r="I14" s="276">
        <f>SUM(H14*6.5/100)+H14</f>
        <v>10139706.51096</v>
      </c>
      <c r="J14" s="276">
        <f>I14*1.065</f>
        <v>10798787.4341724</v>
      </c>
    </row>
    <row r="15" spans="1:10" ht="12.75">
      <c r="A15" s="355" t="s">
        <v>291</v>
      </c>
      <c r="B15" s="356"/>
      <c r="C15" s="356"/>
      <c r="D15" s="418"/>
      <c r="E15" s="276">
        <f aca="true" t="shared" si="2" ref="E15:J15">SUM(E16:E19)</f>
        <v>1797977.79</v>
      </c>
      <c r="F15" s="276">
        <f t="shared" si="2"/>
        <v>3023399.9699999997</v>
      </c>
      <c r="G15" s="278">
        <f t="shared" si="2"/>
        <v>5659200</v>
      </c>
      <c r="H15" s="276">
        <f t="shared" si="2"/>
        <v>6172489.44</v>
      </c>
      <c r="I15" s="276">
        <f t="shared" si="2"/>
        <v>6573701.2535999995</v>
      </c>
      <c r="J15" s="276">
        <f t="shared" si="2"/>
        <v>7000991.835083999</v>
      </c>
    </row>
    <row r="16" spans="1:10" ht="12.75">
      <c r="A16" s="355" t="s">
        <v>292</v>
      </c>
      <c r="B16" s="356"/>
      <c r="C16" s="356"/>
      <c r="D16" s="418"/>
      <c r="E16" s="276">
        <v>1051109.45</v>
      </c>
      <c r="F16" s="276">
        <v>2331025.71</v>
      </c>
      <c r="G16" s="278">
        <v>4793200</v>
      </c>
      <c r="H16" s="276">
        <f aca="true" t="shared" si="3" ref="H16:H21">G16*1.0907</f>
        <v>5227943.24</v>
      </c>
      <c r="I16" s="276">
        <f>H16*1.065</f>
        <v>5567759.5506</v>
      </c>
      <c r="J16" s="276">
        <f>I16*1.065</f>
        <v>5929663.921389</v>
      </c>
    </row>
    <row r="17" spans="1:10" ht="12.75">
      <c r="A17" s="355" t="s">
        <v>293</v>
      </c>
      <c r="B17" s="356"/>
      <c r="C17" s="356"/>
      <c r="D17" s="418"/>
      <c r="E17" s="276">
        <v>0</v>
      </c>
      <c r="F17" s="277">
        <v>0</v>
      </c>
      <c r="G17" s="279">
        <v>59000</v>
      </c>
      <c r="H17" s="276">
        <f t="shared" si="3"/>
        <v>64351.3</v>
      </c>
      <c r="I17" s="276">
        <f aca="true" t="shared" si="4" ref="I17:J20">H17*1.065</f>
        <v>68534.1345</v>
      </c>
      <c r="J17" s="276">
        <f t="shared" si="4"/>
        <v>72988.8532425</v>
      </c>
    </row>
    <row r="18" spans="1:10" ht="12.75">
      <c r="A18" s="355" t="s">
        <v>294</v>
      </c>
      <c r="B18" s="356"/>
      <c r="C18" s="356"/>
      <c r="D18" s="418"/>
      <c r="E18" s="276">
        <v>0</v>
      </c>
      <c r="F18" s="280">
        <v>0</v>
      </c>
      <c r="G18" s="281"/>
      <c r="H18" s="276">
        <f t="shared" si="3"/>
        <v>0</v>
      </c>
      <c r="I18" s="276">
        <f t="shared" si="4"/>
        <v>0</v>
      </c>
      <c r="J18" s="276">
        <f t="shared" si="4"/>
        <v>0</v>
      </c>
    </row>
    <row r="19" spans="1:10" ht="12.75">
      <c r="A19" s="355" t="s">
        <v>295</v>
      </c>
      <c r="B19" s="356"/>
      <c r="C19" s="356"/>
      <c r="D19" s="418"/>
      <c r="E19" s="276">
        <v>746868.34</v>
      </c>
      <c r="F19" s="277">
        <v>692374.26</v>
      </c>
      <c r="G19" s="279">
        <v>807000</v>
      </c>
      <c r="H19" s="276">
        <f t="shared" si="3"/>
        <v>880194.9</v>
      </c>
      <c r="I19" s="276">
        <f t="shared" si="4"/>
        <v>937407.5684999999</v>
      </c>
      <c r="J19" s="276">
        <f t="shared" si="4"/>
        <v>998339.0604524999</v>
      </c>
    </row>
    <row r="20" spans="1:10" ht="12.75">
      <c r="A20" s="355" t="s">
        <v>296</v>
      </c>
      <c r="B20" s="356"/>
      <c r="C20" s="356"/>
      <c r="D20" s="418"/>
      <c r="E20" s="276">
        <v>0</v>
      </c>
      <c r="F20" s="277">
        <v>0</v>
      </c>
      <c r="G20" s="279">
        <v>100000</v>
      </c>
      <c r="H20" s="276">
        <f t="shared" si="3"/>
        <v>109070</v>
      </c>
      <c r="I20" s="276">
        <f t="shared" si="4"/>
        <v>116159.54999999999</v>
      </c>
      <c r="J20" s="276">
        <f t="shared" si="4"/>
        <v>123709.92074999998</v>
      </c>
    </row>
    <row r="21" spans="1:10" ht="12.75">
      <c r="A21" s="419" t="s">
        <v>297</v>
      </c>
      <c r="B21" s="356"/>
      <c r="C21" s="356"/>
      <c r="D21" s="418"/>
      <c r="E21" s="276">
        <v>0</v>
      </c>
      <c r="F21" s="282">
        <v>0</v>
      </c>
      <c r="G21" s="283">
        <v>0</v>
      </c>
      <c r="H21" s="276">
        <f t="shared" si="3"/>
        <v>0</v>
      </c>
      <c r="I21" s="276">
        <f>H21*1.065</f>
        <v>0</v>
      </c>
      <c r="J21" s="276">
        <f>I21*1.065</f>
        <v>0</v>
      </c>
    </row>
    <row r="22" spans="1:10" ht="12.75">
      <c r="A22" s="420" t="s">
        <v>269</v>
      </c>
      <c r="B22" s="421"/>
      <c r="C22" s="421"/>
      <c r="D22" s="421"/>
      <c r="E22" s="244">
        <f aca="true" t="shared" si="5" ref="E22:J22">SUM(E21+E15+E20+E10)</f>
        <v>20443233.419999998</v>
      </c>
      <c r="F22" s="244">
        <f t="shared" si="5"/>
        <v>22934969.04</v>
      </c>
      <c r="G22" s="244">
        <f>SUM(G21+G15+G20+G10)</f>
        <v>30126222</v>
      </c>
      <c r="H22" s="244">
        <f t="shared" si="5"/>
        <v>32858670.3354</v>
      </c>
      <c r="I22" s="244">
        <f t="shared" si="5"/>
        <v>34994483.90720099</v>
      </c>
      <c r="J22" s="244">
        <f t="shared" si="5"/>
        <v>37269125.361169055</v>
      </c>
    </row>
    <row r="23" spans="1:10" ht="12.75">
      <c r="A23" s="176"/>
      <c r="B23" s="176"/>
      <c r="C23" s="176"/>
      <c r="D23" s="176"/>
      <c r="E23" s="176"/>
      <c r="F23" s="176"/>
      <c r="G23" s="176"/>
      <c r="H23" s="176"/>
      <c r="I23" s="176"/>
      <c r="J23" s="176"/>
    </row>
    <row r="24" spans="1:10" ht="12.75">
      <c r="A24" s="349" t="str">
        <f>+'Quadro de Receitas'!A30:E30</f>
        <v>Acari-RN,  19 de junho de 2017.</v>
      </c>
      <c r="B24" s="349"/>
      <c r="C24" s="349"/>
      <c r="D24" s="349"/>
      <c r="E24" s="349"/>
      <c r="F24" s="176"/>
      <c r="G24" s="246"/>
      <c r="H24" s="246"/>
      <c r="I24" s="176"/>
      <c r="J24" s="246"/>
    </row>
    <row r="25" spans="1:10" ht="12.75">
      <c r="A25" s="176"/>
      <c r="B25" s="176"/>
      <c r="C25" s="176"/>
      <c r="D25" s="176"/>
      <c r="E25" s="176"/>
      <c r="F25" s="176"/>
      <c r="G25" s="246"/>
      <c r="H25" s="176"/>
      <c r="I25" s="246"/>
      <c r="J25" s="246"/>
    </row>
    <row r="26" spans="1:10" ht="12.75">
      <c r="A26" s="176"/>
      <c r="B26" s="176"/>
      <c r="C26" s="176"/>
      <c r="D26" s="176"/>
      <c r="E26" s="176"/>
      <c r="F26" s="176"/>
      <c r="G26" s="176"/>
      <c r="H26" s="246"/>
      <c r="I26" s="176"/>
      <c r="J26" s="176"/>
    </row>
    <row r="27" spans="1:10" ht="12.75">
      <c r="A27" s="176"/>
      <c r="B27" s="176"/>
      <c r="C27" s="176"/>
      <c r="D27" s="176"/>
      <c r="E27" s="176"/>
      <c r="F27" s="176"/>
      <c r="G27" s="176"/>
      <c r="H27" s="176"/>
      <c r="I27" s="176"/>
      <c r="J27" s="176"/>
    </row>
    <row r="28" spans="1:10" ht="15.75">
      <c r="A28" s="422" t="str">
        <f>'Quadro de Receitas'!A33:D33</f>
        <v>ISAIAS DE MEDEIROS CABRAL</v>
      </c>
      <c r="B28" s="422"/>
      <c r="C28" s="422"/>
      <c r="D28" s="422"/>
      <c r="E28" s="249"/>
      <c r="F28" s="249"/>
      <c r="G28" s="249"/>
      <c r="H28" s="249" t="str">
        <f>'Quadro de Receitas'!H33:J33</f>
        <v>PAULO ROBERTO LEITE BULHOES</v>
      </c>
      <c r="I28" s="249"/>
      <c r="J28" s="248"/>
    </row>
    <row r="29" spans="1:10" ht="12.75">
      <c r="A29" s="367" t="s">
        <v>298</v>
      </c>
      <c r="B29" s="367"/>
      <c r="C29" s="367"/>
      <c r="D29" s="367"/>
      <c r="E29" s="158"/>
      <c r="F29" s="158"/>
      <c r="G29" s="158"/>
      <c r="H29" s="248" t="str">
        <f>+'Quadro de Receitas'!I34</f>
        <v>Secretário Municipal de Administração</v>
      </c>
      <c r="J29" s="250"/>
    </row>
  </sheetData>
  <sheetProtection/>
  <mergeCells count="25">
    <mergeCell ref="A29:D29"/>
    <mergeCell ref="A19:D19"/>
    <mergeCell ref="A20:D20"/>
    <mergeCell ref="A21:D21"/>
    <mergeCell ref="A22:D22"/>
    <mergeCell ref="A24:E24"/>
    <mergeCell ref="A28:D28"/>
    <mergeCell ref="A13:D13"/>
    <mergeCell ref="A14:D14"/>
    <mergeCell ref="A15:D15"/>
    <mergeCell ref="A16:D16"/>
    <mergeCell ref="A17:D17"/>
    <mergeCell ref="A18:D18"/>
    <mergeCell ref="A8:D8"/>
    <mergeCell ref="E8:F8"/>
    <mergeCell ref="H8:J8"/>
    <mergeCell ref="A9:D9"/>
    <mergeCell ref="A10:D10"/>
    <mergeCell ref="A11:D11"/>
    <mergeCell ref="B2:F2"/>
    <mergeCell ref="B1:F1"/>
    <mergeCell ref="B3:F3"/>
    <mergeCell ref="B4:H4"/>
    <mergeCell ref="B5:F5"/>
    <mergeCell ref="B6:F6"/>
  </mergeCells>
  <printOptions horizontalCentered="1"/>
  <pageMargins left="0.9055118110236221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149"/>
  <sheetViews>
    <sheetView zoomScalePageLayoutView="0" workbookViewId="0" topLeftCell="A124">
      <selection activeCell="A117" sqref="A117:IV118"/>
    </sheetView>
  </sheetViews>
  <sheetFormatPr defaultColWidth="9.140625" defaultRowHeight="12.75"/>
  <sheetData>
    <row r="1" spans="2:7" ht="12.75">
      <c r="B1" s="41"/>
      <c r="C1" s="349" t="s">
        <v>141</v>
      </c>
      <c r="D1" s="349"/>
      <c r="E1" s="349"/>
      <c r="F1" s="349"/>
      <c r="G1" s="349"/>
    </row>
    <row r="2" spans="1:8" ht="15.75">
      <c r="A2" s="41"/>
      <c r="C2" s="348" t="s">
        <v>166</v>
      </c>
      <c r="D2" s="348"/>
      <c r="E2" s="348"/>
      <c r="F2" s="348"/>
      <c r="G2" s="348"/>
      <c r="H2" s="348"/>
    </row>
    <row r="3" spans="1:7" ht="12.75">
      <c r="A3" s="41"/>
      <c r="B3" s="41"/>
      <c r="C3" s="349" t="s">
        <v>142</v>
      </c>
      <c r="D3" s="349"/>
      <c r="E3" s="349"/>
      <c r="F3" s="349"/>
      <c r="G3" s="349"/>
    </row>
    <row r="4" spans="1:9" ht="12.75">
      <c r="A4" s="41"/>
      <c r="B4" s="41"/>
      <c r="C4" s="349" t="s">
        <v>246</v>
      </c>
      <c r="D4" s="349"/>
      <c r="E4" s="349"/>
      <c r="F4" s="349"/>
      <c r="G4" s="349"/>
      <c r="H4" s="349"/>
      <c r="I4" s="349"/>
    </row>
    <row r="5" spans="1:7" ht="12.75">
      <c r="A5" s="41"/>
      <c r="B5" s="41"/>
      <c r="C5" s="349" t="s">
        <v>299</v>
      </c>
      <c r="D5" s="349"/>
      <c r="E5" s="349"/>
      <c r="F5" s="349"/>
      <c r="G5" s="349"/>
    </row>
    <row r="6" spans="1:9" ht="12.75">
      <c r="A6" s="41"/>
      <c r="B6" s="41"/>
      <c r="C6" s="356" t="s">
        <v>248</v>
      </c>
      <c r="D6" s="356"/>
      <c r="E6" s="356"/>
      <c r="F6" s="356"/>
      <c r="G6" s="356"/>
      <c r="H6" s="41"/>
      <c r="I6" s="41"/>
    </row>
    <row r="7" spans="1:9" ht="12.75">
      <c r="A7" s="41"/>
      <c r="B7" s="284"/>
      <c r="C7" s="263"/>
      <c r="D7" s="263"/>
      <c r="E7" s="263"/>
      <c r="F7" s="263"/>
      <c r="G7" s="263"/>
      <c r="H7" s="284"/>
      <c r="I7" s="284"/>
    </row>
    <row r="8" spans="1:9" ht="12.75">
      <c r="A8" s="258" t="s">
        <v>300</v>
      </c>
      <c r="B8" s="265"/>
      <c r="C8" s="176"/>
      <c r="D8" s="176"/>
      <c r="E8" s="176"/>
      <c r="F8" s="176"/>
      <c r="G8" s="176"/>
      <c r="H8" s="176"/>
      <c r="I8" s="176"/>
    </row>
    <row r="9" spans="1:9" ht="12.75">
      <c r="A9" s="176"/>
      <c r="B9" s="176"/>
      <c r="C9" s="176"/>
      <c r="D9" s="176"/>
      <c r="E9" s="176"/>
      <c r="F9" s="176"/>
      <c r="G9" s="176"/>
      <c r="H9" s="176"/>
      <c r="I9" s="176"/>
    </row>
    <row r="10" spans="1:9" ht="12.75">
      <c r="A10" s="423" t="s">
        <v>272</v>
      </c>
      <c r="B10" s="424"/>
      <c r="C10" s="423" t="s">
        <v>273</v>
      </c>
      <c r="D10" s="424"/>
      <c r="E10" s="425" t="s">
        <v>274</v>
      </c>
      <c r="F10" s="426"/>
      <c r="G10" s="176"/>
      <c r="H10" s="176"/>
      <c r="I10" s="176"/>
    </row>
    <row r="11" spans="1:9" ht="12.75">
      <c r="A11" s="369">
        <v>2015</v>
      </c>
      <c r="B11" s="370"/>
      <c r="C11" s="427">
        <f>+'Quadro de Despesa'!E11</f>
        <v>12787713.12</v>
      </c>
      <c r="D11" s="428"/>
      <c r="E11" s="429"/>
      <c r="F11" s="430"/>
      <c r="G11" s="176"/>
      <c r="H11" s="176"/>
      <c r="I11" s="176"/>
    </row>
    <row r="12" spans="1:9" ht="12.75">
      <c r="A12" s="375">
        <v>2016</v>
      </c>
      <c r="B12" s="376"/>
      <c r="C12" s="431">
        <f>+'Quadro de Despesa'!F11</f>
        <v>13347470.23</v>
      </c>
      <c r="D12" s="432"/>
      <c r="E12" s="433">
        <f>(C12/(C11/100))-100</f>
        <v>4.3773042509417905</v>
      </c>
      <c r="F12" s="434"/>
      <c r="G12" s="176"/>
      <c r="H12" s="176"/>
      <c r="I12" s="176"/>
    </row>
    <row r="13" spans="1:9" ht="12.75">
      <c r="A13" s="375">
        <v>2017</v>
      </c>
      <c r="B13" s="376"/>
      <c r="C13" s="431">
        <f>+'Quadro de Despesa'!G11</f>
        <v>15591902</v>
      </c>
      <c r="D13" s="432"/>
      <c r="E13" s="433">
        <f>(C13/(C12/100))-100</f>
        <v>16.815409447067935</v>
      </c>
      <c r="F13" s="434"/>
      <c r="G13" s="176"/>
      <c r="H13" s="176"/>
      <c r="I13" s="176"/>
    </row>
    <row r="14" spans="1:9" ht="12.75">
      <c r="A14" s="375">
        <v>2018</v>
      </c>
      <c r="B14" s="376"/>
      <c r="C14" s="431">
        <f>+'Quadro de Despesa'!H11</f>
        <v>17006087.5114</v>
      </c>
      <c r="D14" s="432"/>
      <c r="E14" s="433">
        <f>(C14/(C13/100))-100</f>
        <v>9.070000000000007</v>
      </c>
      <c r="F14" s="434"/>
      <c r="G14" s="176"/>
      <c r="H14" s="176"/>
      <c r="I14" s="176"/>
    </row>
    <row r="15" spans="1:9" ht="12.75">
      <c r="A15" s="375">
        <v>2019</v>
      </c>
      <c r="B15" s="376"/>
      <c r="C15" s="431">
        <f>+'Quadro de Despesa'!I11</f>
        <v>18111483.199640997</v>
      </c>
      <c r="D15" s="432"/>
      <c r="E15" s="433">
        <f>(C15/(C14/100))-100</f>
        <v>6.499999999999986</v>
      </c>
      <c r="F15" s="434"/>
      <c r="G15" s="176"/>
      <c r="H15" s="176"/>
      <c r="I15" s="176"/>
    </row>
    <row r="16" spans="1:9" ht="12.75">
      <c r="A16" s="381">
        <v>2020</v>
      </c>
      <c r="B16" s="382"/>
      <c r="C16" s="435">
        <f>+'Quadro de Despesa'!J11</f>
        <v>19288729.60761766</v>
      </c>
      <c r="D16" s="436"/>
      <c r="E16" s="437">
        <f>(C16/(C15/100))-100</f>
        <v>6.499999999999986</v>
      </c>
      <c r="F16" s="438"/>
      <c r="G16" s="176"/>
      <c r="H16" s="176"/>
      <c r="I16" s="176"/>
    </row>
    <row r="17" spans="1:9" ht="12.75">
      <c r="A17" s="247"/>
      <c r="B17" s="247"/>
      <c r="C17" s="247"/>
      <c r="D17" s="247"/>
      <c r="E17" s="247"/>
      <c r="F17" s="247"/>
      <c r="G17" s="176"/>
      <c r="H17" s="176"/>
      <c r="I17" s="176"/>
    </row>
    <row r="18" spans="1:9" ht="12.75">
      <c r="A18" s="256" t="s">
        <v>161</v>
      </c>
      <c r="B18" s="176"/>
      <c r="C18" s="176"/>
      <c r="D18" s="176"/>
      <c r="E18" s="176"/>
      <c r="F18" s="176"/>
      <c r="G18" s="176"/>
      <c r="H18" s="176"/>
      <c r="I18" s="176"/>
    </row>
    <row r="19" spans="1:9" ht="12.75">
      <c r="A19" s="176" t="s">
        <v>301</v>
      </c>
      <c r="B19" s="176"/>
      <c r="C19" s="176"/>
      <c r="D19" s="176"/>
      <c r="E19" s="176"/>
      <c r="F19" s="176"/>
      <c r="G19" s="176"/>
      <c r="H19" s="176"/>
      <c r="I19" s="176"/>
    </row>
    <row r="20" spans="1:9" ht="12.75">
      <c r="A20" s="176" t="s">
        <v>302</v>
      </c>
      <c r="B20" s="176"/>
      <c r="C20" s="176"/>
      <c r="D20" s="176"/>
      <c r="E20" s="176"/>
      <c r="F20" s="176"/>
      <c r="G20" s="176"/>
      <c r="H20" s="176"/>
      <c r="I20" s="176"/>
    </row>
    <row r="21" spans="1:9" ht="12.75">
      <c r="A21" s="265" t="s">
        <v>303</v>
      </c>
      <c r="B21" s="265"/>
      <c r="C21" s="176"/>
      <c r="D21" s="176"/>
      <c r="E21" s="176"/>
      <c r="F21" s="176"/>
      <c r="G21" s="176"/>
      <c r="H21" s="176"/>
      <c r="I21" s="176"/>
    </row>
    <row r="22" spans="1:9" ht="12.75">
      <c r="A22" s="176"/>
      <c r="B22" s="176"/>
      <c r="C22" s="176"/>
      <c r="D22" s="176"/>
      <c r="E22" s="176"/>
      <c r="F22" s="176"/>
      <c r="G22" s="176"/>
      <c r="H22" s="176"/>
      <c r="I22" s="176"/>
    </row>
    <row r="23" spans="1:9" ht="12.75">
      <c r="A23" s="423" t="s">
        <v>272</v>
      </c>
      <c r="B23" s="424"/>
      <c r="C23" s="423" t="s">
        <v>273</v>
      </c>
      <c r="D23" s="424"/>
      <c r="E23" s="425" t="s">
        <v>274</v>
      </c>
      <c r="F23" s="426"/>
      <c r="G23" s="176"/>
      <c r="H23" s="176"/>
      <c r="I23" s="176"/>
    </row>
    <row r="24" spans="1:9" ht="12.75">
      <c r="A24" s="369">
        <v>2015</v>
      </c>
      <c r="B24" s="370"/>
      <c r="C24" s="439">
        <f>+'Quadro de Despesa'!E25</f>
        <v>0</v>
      </c>
      <c r="D24" s="428"/>
      <c r="E24" s="429"/>
      <c r="F24" s="430"/>
      <c r="G24" s="176"/>
      <c r="H24" s="176"/>
      <c r="I24" s="176"/>
    </row>
    <row r="25" spans="1:9" ht="12.75">
      <c r="A25" s="375">
        <v>2016</v>
      </c>
      <c r="B25" s="376"/>
      <c r="C25" s="440">
        <f>+'Quadro de Despesa'!F25</f>
        <v>0</v>
      </c>
      <c r="D25" s="432"/>
      <c r="E25" s="433" t="e">
        <f>(C25/(C24/100))-100</f>
        <v>#DIV/0!</v>
      </c>
      <c r="F25" s="434"/>
      <c r="G25" s="176"/>
      <c r="H25" s="176"/>
      <c r="I25" s="176"/>
    </row>
    <row r="26" spans="1:9" ht="12.75">
      <c r="A26" s="375">
        <v>2017</v>
      </c>
      <c r="B26" s="376"/>
      <c r="C26" s="440">
        <f>+'Quadro de Despesa'!G12</f>
        <v>0</v>
      </c>
      <c r="D26" s="432"/>
      <c r="E26" s="433" t="e">
        <f>(C26/(C25/100))-100</f>
        <v>#DIV/0!</v>
      </c>
      <c r="F26" s="434"/>
      <c r="G26" s="176"/>
      <c r="H26" s="176"/>
      <c r="I26" s="176"/>
    </row>
    <row r="27" spans="1:9" ht="12.75">
      <c r="A27" s="375">
        <v>2018</v>
      </c>
      <c r="B27" s="376"/>
      <c r="C27" s="440">
        <f>+'Quadro de Despesa'!H12</f>
        <v>0</v>
      </c>
      <c r="D27" s="432"/>
      <c r="E27" s="433" t="e">
        <f>(C27/(C26/100))-100</f>
        <v>#DIV/0!</v>
      </c>
      <c r="F27" s="434"/>
      <c r="G27" s="176"/>
      <c r="H27" s="176"/>
      <c r="I27" s="176"/>
    </row>
    <row r="28" spans="1:9" ht="12.75">
      <c r="A28" s="375">
        <v>2019</v>
      </c>
      <c r="B28" s="376"/>
      <c r="C28" s="440">
        <f>+'Quadro de Despesa'!I12</f>
        <v>0</v>
      </c>
      <c r="D28" s="432"/>
      <c r="E28" s="433" t="e">
        <f>(C28/(C27/100))-100</f>
        <v>#DIV/0!</v>
      </c>
      <c r="F28" s="434"/>
      <c r="G28" s="176"/>
      <c r="H28" s="176"/>
      <c r="I28" s="176"/>
    </row>
    <row r="29" spans="1:9" ht="12.75">
      <c r="A29" s="381">
        <v>2020</v>
      </c>
      <c r="B29" s="382"/>
      <c r="C29" s="441">
        <f>+'Quadro de Despesa'!J12</f>
        <v>0</v>
      </c>
      <c r="D29" s="436"/>
      <c r="E29" s="437" t="e">
        <f>(C29/(C28/100))-100</f>
        <v>#DIV/0!</v>
      </c>
      <c r="F29" s="438"/>
      <c r="G29" s="176"/>
      <c r="H29" s="176"/>
      <c r="I29" s="176"/>
    </row>
    <row r="30" spans="1:9" ht="12.75">
      <c r="A30" s="256" t="s">
        <v>161</v>
      </c>
      <c r="B30" s="176"/>
      <c r="C30" s="176"/>
      <c r="D30" s="176"/>
      <c r="E30" s="176"/>
      <c r="F30" s="176"/>
      <c r="G30" s="176"/>
      <c r="H30" s="176"/>
      <c r="I30" s="176"/>
    </row>
    <row r="31" spans="1:9" ht="12.75">
      <c r="A31" s="176" t="s">
        <v>301</v>
      </c>
      <c r="B31" s="176"/>
      <c r="C31" s="176"/>
      <c r="D31" s="176"/>
      <c r="E31" s="176"/>
      <c r="F31" s="176"/>
      <c r="G31" s="176"/>
      <c r="H31" s="176"/>
      <c r="I31" s="176"/>
    </row>
    <row r="32" spans="1:9" ht="12.75">
      <c r="A32" s="176" t="s">
        <v>302</v>
      </c>
      <c r="B32" s="176"/>
      <c r="C32" s="176"/>
      <c r="D32" s="176"/>
      <c r="E32" s="176"/>
      <c r="F32" s="176"/>
      <c r="G32" s="176"/>
      <c r="H32" s="176"/>
      <c r="I32" s="176"/>
    </row>
    <row r="33" spans="1:9" ht="12.75">
      <c r="A33" s="252"/>
      <c r="B33" s="252"/>
      <c r="C33" s="252"/>
      <c r="D33" s="252"/>
      <c r="E33" s="252"/>
      <c r="F33" s="252"/>
      <c r="G33" s="252"/>
      <c r="H33" s="252"/>
      <c r="I33" s="252"/>
    </row>
    <row r="34" spans="1:9" ht="12.75">
      <c r="A34" s="403" t="s">
        <v>304</v>
      </c>
      <c r="B34" s="403"/>
      <c r="C34" s="403"/>
      <c r="D34" s="403"/>
      <c r="E34" s="176"/>
      <c r="F34" s="176"/>
      <c r="G34" s="176"/>
      <c r="H34" s="176"/>
      <c r="I34" s="176"/>
    </row>
    <row r="35" spans="1:9" ht="12.75">
      <c r="A35" s="176"/>
      <c r="B35" s="176"/>
      <c r="C35" s="176"/>
      <c r="D35" s="176"/>
      <c r="E35" s="176"/>
      <c r="F35" s="176"/>
      <c r="G35" s="176"/>
      <c r="H35" s="176"/>
      <c r="I35" s="176"/>
    </row>
    <row r="36" spans="1:9" ht="12.75">
      <c r="A36" s="408" t="s">
        <v>272</v>
      </c>
      <c r="B36" s="409"/>
      <c r="C36" s="369" t="s">
        <v>273</v>
      </c>
      <c r="D36" s="370"/>
      <c r="E36" s="285" t="s">
        <v>274</v>
      </c>
      <c r="F36" s="286"/>
      <c r="G36" s="176"/>
      <c r="H36" s="176"/>
      <c r="I36" s="176"/>
    </row>
    <row r="37" spans="1:9" ht="12.75">
      <c r="A37" s="369">
        <v>2015</v>
      </c>
      <c r="B37" s="370"/>
      <c r="C37" s="400">
        <f>+'Quadro de Despesa'!E13</f>
        <v>21693.02</v>
      </c>
      <c r="D37" s="372"/>
      <c r="E37" s="401">
        <v>0</v>
      </c>
      <c r="F37" s="374"/>
      <c r="G37" s="176"/>
      <c r="H37" s="176"/>
      <c r="I37" s="176"/>
    </row>
    <row r="38" spans="1:9" ht="12.75">
      <c r="A38" s="375">
        <v>2016</v>
      </c>
      <c r="B38" s="376"/>
      <c r="C38" s="402">
        <f>+'Quadro de Despesa'!F13</f>
        <v>35900.91</v>
      </c>
      <c r="D38" s="378"/>
      <c r="E38" s="379">
        <v>0</v>
      </c>
      <c r="F38" s="380"/>
      <c r="G38" s="176"/>
      <c r="H38" s="176"/>
      <c r="I38" s="176"/>
    </row>
    <row r="39" spans="1:9" ht="12.75">
      <c r="A39" s="375">
        <v>2017</v>
      </c>
      <c r="B39" s="376"/>
      <c r="C39" s="402">
        <f>+'Quadro de Despesa'!G13</f>
        <v>46000</v>
      </c>
      <c r="D39" s="378"/>
      <c r="E39" s="379">
        <f>(C39/(C38/100))-100</f>
        <v>28.130456860285705</v>
      </c>
      <c r="F39" s="380"/>
      <c r="G39" s="176"/>
      <c r="H39" s="176"/>
      <c r="I39" s="176"/>
    </row>
    <row r="40" spans="1:9" ht="12.75">
      <c r="A40" s="375">
        <v>2018</v>
      </c>
      <c r="B40" s="376"/>
      <c r="C40" s="402">
        <f>+'Quadro de Despesa'!H13</f>
        <v>50172.2</v>
      </c>
      <c r="D40" s="378"/>
      <c r="E40" s="379">
        <f>(C40/(C39/100))-100</f>
        <v>9.069999999999993</v>
      </c>
      <c r="F40" s="380"/>
      <c r="G40" s="176"/>
      <c r="H40" s="176"/>
      <c r="I40" s="176"/>
    </row>
    <row r="41" spans="1:9" ht="12.75">
      <c r="A41" s="375">
        <v>2019</v>
      </c>
      <c r="B41" s="376"/>
      <c r="C41" s="402">
        <f>+'Quadro de Despesa'!I13</f>
        <v>53433.393</v>
      </c>
      <c r="D41" s="378"/>
      <c r="E41" s="379">
        <f>(C41/(C40/100))-100</f>
        <v>6.5</v>
      </c>
      <c r="F41" s="380"/>
      <c r="G41" s="176"/>
      <c r="H41" s="176"/>
      <c r="I41" s="176"/>
    </row>
    <row r="42" spans="1:9" ht="12.75">
      <c r="A42" s="381">
        <v>2020</v>
      </c>
      <c r="B42" s="382"/>
      <c r="C42" s="399">
        <f>('Quadro de Despesa'!J13)</f>
        <v>56906.56354499999</v>
      </c>
      <c r="D42" s="384"/>
      <c r="E42" s="395">
        <f>(C42/(C41/100))-100</f>
        <v>6.499999999999986</v>
      </c>
      <c r="F42" s="386"/>
      <c r="G42" s="176"/>
      <c r="H42" s="176"/>
      <c r="I42" s="176"/>
    </row>
    <row r="43" spans="1:9" ht="12.75">
      <c r="A43" s="176"/>
      <c r="B43" s="176"/>
      <c r="C43" s="176"/>
      <c r="D43" s="176"/>
      <c r="E43" s="176"/>
      <c r="F43" s="176"/>
      <c r="G43" s="176"/>
      <c r="H43" s="176"/>
      <c r="I43" s="176"/>
    </row>
    <row r="44" spans="1:9" ht="12.75">
      <c r="A44" s="256" t="s">
        <v>161</v>
      </c>
      <c r="B44" s="176"/>
      <c r="C44" s="176"/>
      <c r="D44" s="176"/>
      <c r="E44" s="176"/>
      <c r="F44" s="176"/>
      <c r="G44" s="176"/>
      <c r="H44" s="176"/>
      <c r="I44" s="176"/>
    </row>
    <row r="45" spans="1:9" ht="12.75">
      <c r="A45" s="176" t="s">
        <v>301</v>
      </c>
      <c r="B45" s="237"/>
      <c r="C45" s="237"/>
      <c r="D45" s="237"/>
      <c r="E45" s="237"/>
      <c r="F45" s="237"/>
      <c r="G45" s="237"/>
      <c r="H45" s="176"/>
      <c r="I45" s="176"/>
    </row>
    <row r="46" spans="1:9" ht="12.75" customHeight="1">
      <c r="A46" s="252" t="s">
        <v>302</v>
      </c>
      <c r="B46" s="252"/>
      <c r="C46" s="252"/>
      <c r="D46" s="287"/>
      <c r="E46" s="252"/>
      <c r="F46" s="252"/>
      <c r="G46" s="252"/>
      <c r="H46" s="252"/>
      <c r="I46" s="252"/>
    </row>
    <row r="47" spans="1:9" ht="12.75">
      <c r="A47" s="407" t="s">
        <v>305</v>
      </c>
      <c r="B47" s="407"/>
      <c r="C47" s="407"/>
      <c r="D47" s="176"/>
      <c r="E47" s="176"/>
      <c r="F47" s="176"/>
      <c r="G47" s="176"/>
      <c r="H47" s="176"/>
      <c r="I47" s="176"/>
    </row>
    <row r="48" spans="1:9" ht="12.75">
      <c r="A48" s="176"/>
      <c r="B48" s="176"/>
      <c r="C48" s="176"/>
      <c r="D48" s="176"/>
      <c r="E48" s="176"/>
      <c r="F48" s="176"/>
      <c r="G48" s="176"/>
      <c r="H48" s="176"/>
      <c r="I48" s="176"/>
    </row>
    <row r="49" spans="1:9" ht="12.75">
      <c r="A49" s="408" t="s">
        <v>272</v>
      </c>
      <c r="B49" s="409"/>
      <c r="C49" s="408" t="s">
        <v>273</v>
      </c>
      <c r="D49" s="409"/>
      <c r="E49" s="408" t="s">
        <v>274</v>
      </c>
      <c r="F49" s="409"/>
      <c r="G49" s="176"/>
      <c r="H49" s="176"/>
      <c r="I49" s="176"/>
    </row>
    <row r="50" spans="1:9" ht="12.75">
      <c r="A50" s="369">
        <v>2015</v>
      </c>
      <c r="B50" s="370"/>
      <c r="C50" s="400">
        <f>+'Quadro de Despesa'!E14</f>
        <v>5835849.49</v>
      </c>
      <c r="D50" s="372"/>
      <c r="E50" s="369"/>
      <c r="F50" s="370"/>
      <c r="G50" s="176"/>
      <c r="H50" s="176"/>
      <c r="I50" s="176"/>
    </row>
    <row r="51" spans="1:9" ht="12.75">
      <c r="A51" s="375">
        <v>2016</v>
      </c>
      <c r="B51" s="376"/>
      <c r="C51" s="402">
        <f>+'Quadro de Despesa'!F14</f>
        <v>6528197.93</v>
      </c>
      <c r="D51" s="378"/>
      <c r="E51" s="391">
        <f>(C51/(C50/100))-100</f>
        <v>11.863713092436171</v>
      </c>
      <c r="F51" s="380"/>
      <c r="G51" s="176"/>
      <c r="H51" s="176"/>
      <c r="I51" s="176"/>
    </row>
    <row r="52" spans="1:9" ht="12.75">
      <c r="A52" s="375">
        <v>2017</v>
      </c>
      <c r="B52" s="376"/>
      <c r="C52" s="402">
        <f>+'Quadro de Despesa'!G14</f>
        <v>8729120</v>
      </c>
      <c r="D52" s="378"/>
      <c r="E52" s="391">
        <f>(C52/(C51/100))-100</f>
        <v>33.71408302260224</v>
      </c>
      <c r="F52" s="380"/>
      <c r="G52" s="176"/>
      <c r="H52" s="176"/>
      <c r="I52" s="176"/>
    </row>
    <row r="53" spans="1:9" ht="12.75">
      <c r="A53" s="375">
        <v>2018</v>
      </c>
      <c r="B53" s="376"/>
      <c r="C53" s="402">
        <f>+'Quadro de Despesa'!H14</f>
        <v>9520851.184</v>
      </c>
      <c r="D53" s="378"/>
      <c r="E53" s="391">
        <f>(C53/(C52/100))-100</f>
        <v>9.070000000000007</v>
      </c>
      <c r="F53" s="380"/>
      <c r="G53" s="176"/>
      <c r="H53" s="176"/>
      <c r="I53" s="176"/>
    </row>
    <row r="54" spans="1:9" ht="12.75">
      <c r="A54" s="375">
        <v>2019</v>
      </c>
      <c r="B54" s="376"/>
      <c r="C54" s="402">
        <f>+'Quadro de Despesa'!I14</f>
        <v>10139706.51096</v>
      </c>
      <c r="D54" s="378"/>
      <c r="E54" s="391">
        <f>(C54/(C53/100))-100</f>
        <v>6.499999999999986</v>
      </c>
      <c r="F54" s="380"/>
      <c r="G54" s="176"/>
      <c r="H54" s="176"/>
      <c r="I54" s="176"/>
    </row>
    <row r="55" spans="1:9" ht="12.75">
      <c r="A55" s="381">
        <v>2020</v>
      </c>
      <c r="B55" s="382"/>
      <c r="C55" s="399">
        <f>('Quadro de Despesa'!J14)</f>
        <v>10798787.4341724</v>
      </c>
      <c r="D55" s="384"/>
      <c r="E55" s="385">
        <f>(C55/(C54/100))-100</f>
        <v>6.5</v>
      </c>
      <c r="F55" s="386"/>
      <c r="G55" s="176"/>
      <c r="H55" s="176"/>
      <c r="I55" s="176"/>
    </row>
    <row r="56" spans="1:9" ht="12.75">
      <c r="A56" s="256" t="s">
        <v>161</v>
      </c>
      <c r="B56" s="176"/>
      <c r="C56" s="176"/>
      <c r="D56" s="176"/>
      <c r="E56" s="176"/>
      <c r="F56" s="176"/>
      <c r="G56" s="176"/>
      <c r="H56" s="176"/>
      <c r="I56" s="176"/>
    </row>
    <row r="57" spans="1:9" ht="12.75">
      <c r="A57" s="176" t="s">
        <v>301</v>
      </c>
      <c r="B57" s="176"/>
      <c r="C57" s="176"/>
      <c r="D57" s="176"/>
      <c r="E57" s="176"/>
      <c r="F57" s="176"/>
      <c r="G57" s="176"/>
      <c r="H57" s="176"/>
      <c r="I57" s="176"/>
    </row>
    <row r="58" spans="1:9" ht="14.25" customHeight="1">
      <c r="A58" s="176" t="s">
        <v>302</v>
      </c>
      <c r="B58" s="176"/>
      <c r="C58" s="176"/>
      <c r="D58" s="257"/>
      <c r="E58" s="176"/>
      <c r="F58" s="176"/>
      <c r="G58" s="176"/>
      <c r="H58" s="176"/>
      <c r="I58" s="176"/>
    </row>
    <row r="59" spans="1:9" ht="14.25" customHeight="1">
      <c r="A59" s="176"/>
      <c r="B59" s="176"/>
      <c r="C59" s="176"/>
      <c r="D59" s="257"/>
      <c r="E59" s="176"/>
      <c r="F59" s="176"/>
      <c r="G59" s="176"/>
      <c r="H59" s="176"/>
      <c r="I59" s="176"/>
    </row>
    <row r="60" spans="1:9" ht="12.75">
      <c r="A60" s="176"/>
      <c r="B60" s="176"/>
      <c r="C60" s="349" t="s">
        <v>141</v>
      </c>
      <c r="D60" s="349"/>
      <c r="E60" s="349"/>
      <c r="F60" s="349"/>
      <c r="G60" s="349"/>
      <c r="H60" s="176"/>
      <c r="I60" s="176"/>
    </row>
    <row r="61" spans="1:9" ht="15.75">
      <c r="A61" s="176"/>
      <c r="B61" s="176"/>
      <c r="C61" s="348" t="s">
        <v>166</v>
      </c>
      <c r="D61" s="348"/>
      <c r="E61" s="348"/>
      <c r="F61" s="348"/>
      <c r="G61" s="348"/>
      <c r="H61" s="348"/>
      <c r="I61" s="176"/>
    </row>
    <row r="62" spans="1:9" ht="12.75">
      <c r="A62" s="176"/>
      <c r="B62" s="176"/>
      <c r="C62" s="349" t="s">
        <v>142</v>
      </c>
      <c r="D62" s="349"/>
      <c r="E62" s="349"/>
      <c r="F62" s="349"/>
      <c r="G62" s="349"/>
      <c r="H62" s="176"/>
      <c r="I62" s="176"/>
    </row>
    <row r="63" spans="1:9" ht="12.75">
      <c r="A63" s="176"/>
      <c r="B63" s="176"/>
      <c r="C63" s="349" t="s">
        <v>246</v>
      </c>
      <c r="D63" s="349"/>
      <c r="E63" s="349"/>
      <c r="F63" s="349"/>
      <c r="G63" s="349"/>
      <c r="H63" s="349"/>
      <c r="I63" s="349"/>
    </row>
    <row r="64" spans="1:9" ht="12.75">
      <c r="A64" s="176"/>
      <c r="B64" s="176"/>
      <c r="C64" s="349" t="s">
        <v>299</v>
      </c>
      <c r="D64" s="349"/>
      <c r="E64" s="349"/>
      <c r="F64" s="349"/>
      <c r="G64" s="349"/>
      <c r="H64" s="176"/>
      <c r="I64" s="176"/>
    </row>
    <row r="65" spans="1:9" ht="12.75">
      <c r="A65" s="176"/>
      <c r="B65" s="176"/>
      <c r="C65" s="349" t="s">
        <v>248</v>
      </c>
      <c r="D65" s="349"/>
      <c r="E65" s="349"/>
      <c r="F65" s="349"/>
      <c r="G65" s="349"/>
      <c r="H65" s="176"/>
      <c r="I65" s="176"/>
    </row>
    <row r="66" spans="1:9" ht="12.75">
      <c r="A66" s="252"/>
      <c r="B66" s="252"/>
      <c r="C66" s="252"/>
      <c r="D66" s="252"/>
      <c r="E66" s="252"/>
      <c r="F66" s="252"/>
      <c r="G66" s="252"/>
      <c r="H66" s="252"/>
      <c r="I66" s="252"/>
    </row>
    <row r="67" spans="1:9" ht="12.75">
      <c r="A67" s="368" t="s">
        <v>306</v>
      </c>
      <c r="B67" s="368"/>
      <c r="C67" s="368"/>
      <c r="D67" s="176"/>
      <c r="E67" s="176"/>
      <c r="F67" s="176"/>
      <c r="G67" s="176"/>
      <c r="H67" s="176"/>
      <c r="I67" s="176"/>
    </row>
    <row r="68" spans="1:9" ht="12.75">
      <c r="A68" s="176"/>
      <c r="B68" s="176"/>
      <c r="C68" s="176"/>
      <c r="D68" s="176"/>
      <c r="E68" s="176"/>
      <c r="F68" s="176"/>
      <c r="G68" s="176"/>
      <c r="H68" s="176"/>
      <c r="I68" s="176"/>
    </row>
    <row r="69" spans="1:9" ht="12.75">
      <c r="A69" s="408" t="s">
        <v>272</v>
      </c>
      <c r="B69" s="409"/>
      <c r="C69" s="408" t="s">
        <v>307</v>
      </c>
      <c r="D69" s="409"/>
      <c r="E69" s="408" t="s">
        <v>274</v>
      </c>
      <c r="F69" s="409"/>
      <c r="G69" s="176"/>
      <c r="H69" s="176"/>
      <c r="I69" s="176"/>
    </row>
    <row r="70" spans="1:9" ht="12.75">
      <c r="A70" s="369">
        <v>2015</v>
      </c>
      <c r="B70" s="370"/>
      <c r="C70" s="400">
        <f>+'Quadro de Despesa'!E16</f>
        <v>1051109.45</v>
      </c>
      <c r="D70" s="372"/>
      <c r="E70" s="442"/>
      <c r="F70" s="443"/>
      <c r="G70" s="176"/>
      <c r="H70" s="176"/>
      <c r="I70" s="176"/>
    </row>
    <row r="71" spans="1:9" ht="12.75">
      <c r="A71" s="375">
        <v>2016</v>
      </c>
      <c r="B71" s="376"/>
      <c r="C71" s="402">
        <f>+'Quadro de Despesa'!F16</f>
        <v>2331025.71</v>
      </c>
      <c r="D71" s="378"/>
      <c r="E71" s="391">
        <f>(C71/(C70/100))-100</f>
        <v>121.7681241472998</v>
      </c>
      <c r="F71" s="380"/>
      <c r="G71" s="176"/>
      <c r="H71" s="176"/>
      <c r="I71" s="176"/>
    </row>
    <row r="72" spans="1:9" ht="12.75">
      <c r="A72" s="375">
        <v>2017</v>
      </c>
      <c r="B72" s="376"/>
      <c r="C72" s="402">
        <f>+'Quadro de Despesa'!G16</f>
        <v>4793200</v>
      </c>
      <c r="D72" s="378"/>
      <c r="E72" s="391">
        <f>(C72/(C71/100))-100</f>
        <v>105.6262176533437</v>
      </c>
      <c r="F72" s="380"/>
      <c r="G72" s="176"/>
      <c r="H72" s="176"/>
      <c r="I72" s="176"/>
    </row>
    <row r="73" spans="1:9" ht="12.75">
      <c r="A73" s="375">
        <v>2018</v>
      </c>
      <c r="B73" s="376"/>
      <c r="C73" s="402">
        <f>+'Quadro de Despesa'!H16</f>
        <v>5227943.24</v>
      </c>
      <c r="D73" s="378"/>
      <c r="E73" s="391">
        <f>(C73/(C72/100))-100</f>
        <v>9.070000000000007</v>
      </c>
      <c r="F73" s="380"/>
      <c r="G73" s="176"/>
      <c r="H73" s="176"/>
      <c r="I73" s="176"/>
    </row>
    <row r="74" spans="1:9" ht="12.75">
      <c r="A74" s="375">
        <v>2019</v>
      </c>
      <c r="B74" s="376"/>
      <c r="C74" s="402">
        <f>+'Quadro de Despesa'!I16</f>
        <v>5567759.5506</v>
      </c>
      <c r="D74" s="378"/>
      <c r="E74" s="391">
        <f>(C74/(C73/100))-100</f>
        <v>6.499999999999986</v>
      </c>
      <c r="F74" s="380"/>
      <c r="G74" s="176"/>
      <c r="H74" s="176"/>
      <c r="I74" s="176"/>
    </row>
    <row r="75" spans="1:9" ht="12.75">
      <c r="A75" s="381">
        <v>2020</v>
      </c>
      <c r="B75" s="382"/>
      <c r="C75" s="399">
        <f>('Quadro de Despesa'!J16)</f>
        <v>5929663.921389</v>
      </c>
      <c r="D75" s="384"/>
      <c r="E75" s="385">
        <f>(C75/(C74/100))-100</f>
        <v>6.5</v>
      </c>
      <c r="F75" s="386"/>
      <c r="G75" s="176"/>
      <c r="H75" s="176"/>
      <c r="I75" s="176"/>
    </row>
    <row r="76" spans="1:9" ht="12.75">
      <c r="A76" s="176"/>
      <c r="B76" s="176"/>
      <c r="C76" s="176"/>
      <c r="D76" s="176"/>
      <c r="E76" s="176"/>
      <c r="F76" s="176"/>
      <c r="G76" s="176"/>
      <c r="H76" s="176"/>
      <c r="I76" s="176"/>
    </row>
    <row r="77" spans="1:9" ht="12.75">
      <c r="A77" s="256" t="s">
        <v>161</v>
      </c>
      <c r="B77" s="176"/>
      <c r="C77" s="176"/>
      <c r="D77" s="176"/>
      <c r="E77" s="176"/>
      <c r="F77" s="176"/>
      <c r="G77" s="176"/>
      <c r="H77" s="176"/>
      <c r="I77" s="176"/>
    </row>
    <row r="78" spans="1:9" ht="12.75">
      <c r="A78" s="247" t="s">
        <v>308</v>
      </c>
      <c r="B78" s="176"/>
      <c r="C78" s="176"/>
      <c r="D78" s="176"/>
      <c r="E78" s="176"/>
      <c r="F78" s="176"/>
      <c r="G78" s="176"/>
      <c r="H78" s="176"/>
      <c r="I78" s="176"/>
    </row>
    <row r="79" spans="1:9" ht="12.75">
      <c r="A79" s="252" t="s">
        <v>302</v>
      </c>
      <c r="B79" s="252"/>
      <c r="C79" s="252"/>
      <c r="D79" s="252"/>
      <c r="E79" s="252"/>
      <c r="F79" s="252"/>
      <c r="G79" s="252"/>
      <c r="H79" s="252"/>
      <c r="I79" s="252"/>
    </row>
    <row r="80" spans="1:9" ht="12.75">
      <c r="A80" s="403" t="s">
        <v>309</v>
      </c>
      <c r="B80" s="403"/>
      <c r="C80" s="403"/>
      <c r="D80" s="403"/>
      <c r="E80" s="176"/>
      <c r="F80" s="176"/>
      <c r="G80" s="176"/>
      <c r="H80" s="176"/>
      <c r="I80" s="176"/>
    </row>
    <row r="81" spans="1:9" ht="12.75">
      <c r="A81" s="176"/>
      <c r="B81" s="176"/>
      <c r="C81" s="176"/>
      <c r="D81" s="176"/>
      <c r="E81" s="176"/>
      <c r="F81" s="176"/>
      <c r="G81" s="176"/>
      <c r="H81" s="176"/>
      <c r="I81" s="176"/>
    </row>
    <row r="82" spans="1:9" ht="12.75">
      <c r="A82" s="408" t="s">
        <v>272</v>
      </c>
      <c r="B82" s="409"/>
      <c r="C82" s="408" t="s">
        <v>307</v>
      </c>
      <c r="D82" s="409"/>
      <c r="E82" s="408" t="s">
        <v>274</v>
      </c>
      <c r="F82" s="409"/>
      <c r="G82" s="176"/>
      <c r="H82" s="176"/>
      <c r="I82" s="176"/>
    </row>
    <row r="83" spans="1:9" ht="12.75">
      <c r="A83" s="369">
        <v>2015</v>
      </c>
      <c r="B83" s="370"/>
      <c r="C83" s="400">
        <f>('Quadro de Despesa'!E17)</f>
        <v>0</v>
      </c>
      <c r="D83" s="372"/>
      <c r="E83" s="442"/>
      <c r="F83" s="443"/>
      <c r="G83" s="176"/>
      <c r="H83" s="176"/>
      <c r="I83" s="176"/>
    </row>
    <row r="84" spans="1:9" ht="12.75">
      <c r="A84" s="375">
        <v>2016</v>
      </c>
      <c r="B84" s="376"/>
      <c r="C84" s="402">
        <f>('Quadro de Despesa'!F17)</f>
        <v>0</v>
      </c>
      <c r="D84" s="378"/>
      <c r="E84" s="391" t="e">
        <f>(C84/(C83/100))-100</f>
        <v>#DIV/0!</v>
      </c>
      <c r="F84" s="380"/>
      <c r="G84" s="176"/>
      <c r="H84" s="176"/>
      <c r="I84" s="176"/>
    </row>
    <row r="85" spans="1:9" ht="12.75">
      <c r="A85" s="375">
        <v>2017</v>
      </c>
      <c r="B85" s="376"/>
      <c r="C85" s="402">
        <f>('Quadro de Despesa'!G17)</f>
        <v>59000</v>
      </c>
      <c r="D85" s="378"/>
      <c r="E85" s="391" t="e">
        <f>(C85/(C84/100))-100</f>
        <v>#DIV/0!</v>
      </c>
      <c r="F85" s="380"/>
      <c r="G85" s="176"/>
      <c r="H85" s="176"/>
      <c r="I85" s="176"/>
    </row>
    <row r="86" spans="1:9" ht="12.75">
      <c r="A86" s="375">
        <v>2018</v>
      </c>
      <c r="B86" s="376"/>
      <c r="C86" s="402">
        <f>('Quadro de Despesa'!H17)</f>
        <v>64351.3</v>
      </c>
      <c r="D86" s="378"/>
      <c r="E86" s="391">
        <f>(C86/(C85/100))-100</f>
        <v>9.070000000000007</v>
      </c>
      <c r="F86" s="380"/>
      <c r="G86" s="176"/>
      <c r="H86" s="176"/>
      <c r="I86" s="176"/>
    </row>
    <row r="87" spans="1:9" ht="12.75">
      <c r="A87" s="375">
        <v>2019</v>
      </c>
      <c r="B87" s="376"/>
      <c r="C87" s="402">
        <f>('Quadro de Despesa'!I17)</f>
        <v>68534.1345</v>
      </c>
      <c r="D87" s="378"/>
      <c r="E87" s="391">
        <f>(C87/(C86/100))-100</f>
        <v>6.5</v>
      </c>
      <c r="F87" s="380"/>
      <c r="G87" s="176"/>
      <c r="H87" s="176"/>
      <c r="I87" s="176"/>
    </row>
    <row r="88" spans="1:9" ht="12.75">
      <c r="A88" s="381">
        <v>2020</v>
      </c>
      <c r="B88" s="382"/>
      <c r="C88" s="399">
        <f>('Quadro de Despesa'!J17)</f>
        <v>72988.8532425</v>
      </c>
      <c r="D88" s="384"/>
      <c r="E88" s="385">
        <f>(C88/(C87/100))-100</f>
        <v>6.5</v>
      </c>
      <c r="F88" s="386"/>
      <c r="G88" s="176"/>
      <c r="H88" s="176"/>
      <c r="I88" s="176"/>
    </row>
    <row r="89" spans="1:9" ht="12.75">
      <c r="A89" s="176"/>
      <c r="B89" s="176"/>
      <c r="C89" s="176"/>
      <c r="D89" s="176"/>
      <c r="E89" s="176"/>
      <c r="F89" s="176"/>
      <c r="G89" s="176"/>
      <c r="H89" s="176"/>
      <c r="I89" s="176"/>
    </row>
    <row r="90" spans="1:9" ht="12.75">
      <c r="A90" s="256" t="s">
        <v>161</v>
      </c>
      <c r="B90" s="176"/>
      <c r="C90" s="176"/>
      <c r="D90" s="176"/>
      <c r="E90" s="176"/>
      <c r="F90" s="176"/>
      <c r="G90" s="176"/>
      <c r="H90" s="176"/>
      <c r="I90" s="176"/>
    </row>
    <row r="91" spans="1:9" ht="12.75">
      <c r="A91" s="176" t="s">
        <v>301</v>
      </c>
      <c r="B91" s="237"/>
      <c r="C91" s="237"/>
      <c r="D91" s="237"/>
      <c r="E91" s="237"/>
      <c r="F91" s="237"/>
      <c r="G91" s="237"/>
      <c r="H91" s="176"/>
      <c r="I91" s="176"/>
    </row>
    <row r="92" spans="1:9" ht="12.75">
      <c r="A92" s="176" t="s">
        <v>302</v>
      </c>
      <c r="B92" s="237"/>
      <c r="C92" s="237"/>
      <c r="D92" s="237"/>
      <c r="E92" s="237"/>
      <c r="F92" s="237"/>
      <c r="G92" s="237"/>
      <c r="H92" s="176"/>
      <c r="I92" s="176"/>
    </row>
    <row r="93" spans="1:9" ht="12.75">
      <c r="A93" s="252"/>
      <c r="B93" s="252"/>
      <c r="C93" s="252"/>
      <c r="D93" s="252"/>
      <c r="E93" s="252"/>
      <c r="F93" s="252"/>
      <c r="G93" s="252"/>
      <c r="H93" s="252"/>
      <c r="I93" s="252"/>
    </row>
    <row r="94" spans="1:9" ht="12.75">
      <c r="A94" s="368" t="s">
        <v>310</v>
      </c>
      <c r="B94" s="368"/>
      <c r="C94" s="368"/>
      <c r="D94" s="176"/>
      <c r="E94" s="176"/>
      <c r="F94" s="176"/>
      <c r="G94" s="176"/>
      <c r="H94" s="176"/>
      <c r="I94" s="176"/>
    </row>
    <row r="95" spans="1:9" ht="12.75">
      <c r="A95" s="176"/>
      <c r="B95" s="176"/>
      <c r="C95" s="176"/>
      <c r="D95" s="176"/>
      <c r="E95" s="176"/>
      <c r="F95" s="176"/>
      <c r="G95" s="176"/>
      <c r="H95" s="176"/>
      <c r="I95" s="176"/>
    </row>
    <row r="96" spans="1:9" ht="12.75">
      <c r="A96" s="408" t="s">
        <v>272</v>
      </c>
      <c r="B96" s="409"/>
      <c r="C96" s="408" t="s">
        <v>307</v>
      </c>
      <c r="D96" s="409"/>
      <c r="E96" s="408" t="s">
        <v>274</v>
      </c>
      <c r="F96" s="409"/>
      <c r="G96" s="176"/>
      <c r="H96" s="176"/>
      <c r="I96" s="176"/>
    </row>
    <row r="97" spans="1:9" ht="12.75">
      <c r="A97" s="369">
        <v>2015</v>
      </c>
      <c r="B97" s="370"/>
      <c r="C97" s="400">
        <f>('Quadro de Despesa'!E19)</f>
        <v>746868.34</v>
      </c>
      <c r="D97" s="372"/>
      <c r="E97" s="442"/>
      <c r="F97" s="443"/>
      <c r="G97" s="176"/>
      <c r="H97" s="176"/>
      <c r="I97" s="176"/>
    </row>
    <row r="98" spans="1:9" ht="12.75">
      <c r="A98" s="375">
        <v>2016</v>
      </c>
      <c r="B98" s="376"/>
      <c r="C98" s="402">
        <f>('Quadro de Despesa'!F19)</f>
        <v>692374.26</v>
      </c>
      <c r="D98" s="378"/>
      <c r="E98" s="391">
        <f>(C98/(C97/100))-100</f>
        <v>-7.296343556348901</v>
      </c>
      <c r="F98" s="380"/>
      <c r="G98" s="176"/>
      <c r="H98" s="176"/>
      <c r="I98" s="176"/>
    </row>
    <row r="99" spans="1:9" ht="12.75">
      <c r="A99" s="375">
        <v>2017</v>
      </c>
      <c r="B99" s="376"/>
      <c r="C99" s="402">
        <f>('Quadro de Despesa'!G19)</f>
        <v>807000</v>
      </c>
      <c r="D99" s="378"/>
      <c r="E99" s="391">
        <f>(C99/(C98/100))-100</f>
        <v>16.55545947072035</v>
      </c>
      <c r="F99" s="380"/>
      <c r="G99" s="176"/>
      <c r="H99" s="176"/>
      <c r="I99" s="176"/>
    </row>
    <row r="100" spans="1:9" ht="12.75">
      <c r="A100" s="375">
        <v>2018</v>
      </c>
      <c r="B100" s="376"/>
      <c r="C100" s="402">
        <f>('Quadro de Despesa'!H19)</f>
        <v>880194.9</v>
      </c>
      <c r="D100" s="378"/>
      <c r="E100" s="391">
        <f>(C100/(C99/100))-100</f>
        <v>9.070000000000007</v>
      </c>
      <c r="F100" s="380"/>
      <c r="G100" s="176"/>
      <c r="H100" s="176"/>
      <c r="I100" s="176"/>
    </row>
    <row r="101" spans="1:9" ht="12.75">
      <c r="A101" s="375">
        <v>2019</v>
      </c>
      <c r="B101" s="376"/>
      <c r="C101" s="402">
        <f>('Quadro de Despesa'!I19)</f>
        <v>937407.5684999999</v>
      </c>
      <c r="D101" s="378"/>
      <c r="E101" s="391">
        <f>(C101/(C100/100))-100</f>
        <v>6.499999999999986</v>
      </c>
      <c r="F101" s="380"/>
      <c r="G101" s="176"/>
      <c r="H101" s="176"/>
      <c r="I101" s="176"/>
    </row>
    <row r="102" spans="1:9" ht="12.75">
      <c r="A102" s="381">
        <v>2020</v>
      </c>
      <c r="B102" s="382"/>
      <c r="C102" s="399">
        <f>('Quadro de Despesa'!J19)</f>
        <v>998339.0604524999</v>
      </c>
      <c r="D102" s="384"/>
      <c r="E102" s="385">
        <f>(C102/(C101/100))-100</f>
        <v>6.499999999999986</v>
      </c>
      <c r="F102" s="386"/>
      <c r="G102" s="176"/>
      <c r="H102" s="176"/>
      <c r="I102" s="176"/>
    </row>
    <row r="103" spans="1:9" ht="12.75">
      <c r="A103" s="176"/>
      <c r="B103" s="176"/>
      <c r="C103" s="176"/>
      <c r="D103" s="176"/>
      <c r="E103" s="176"/>
      <c r="F103" s="176"/>
      <c r="G103" s="176"/>
      <c r="H103" s="176"/>
      <c r="I103" s="176"/>
    </row>
    <row r="104" spans="1:9" ht="12.75">
      <c r="A104" s="256" t="s">
        <v>161</v>
      </c>
      <c r="B104" s="176"/>
      <c r="C104" s="176"/>
      <c r="D104" s="176"/>
      <c r="E104" s="176"/>
      <c r="F104" s="176"/>
      <c r="G104" s="176"/>
      <c r="H104" s="176"/>
      <c r="I104" s="176"/>
    </row>
    <row r="105" spans="1:9" ht="12.75">
      <c r="A105" s="176" t="s">
        <v>301</v>
      </c>
      <c r="B105" s="176"/>
      <c r="C105" s="176"/>
      <c r="D105" s="176"/>
      <c r="E105" s="176"/>
      <c r="F105" s="176"/>
      <c r="G105" s="176"/>
      <c r="H105" s="176"/>
      <c r="I105" s="176"/>
    </row>
    <row r="106" spans="1:9" ht="12.75">
      <c r="A106" s="176" t="s">
        <v>302</v>
      </c>
      <c r="B106" s="176"/>
      <c r="C106" s="176"/>
      <c r="D106" s="176"/>
      <c r="E106" s="176"/>
      <c r="F106" s="176"/>
      <c r="G106" s="176"/>
      <c r="H106" s="176"/>
      <c r="I106" s="176"/>
    </row>
    <row r="107" spans="1:9" ht="12.75">
      <c r="A107" s="176"/>
      <c r="B107" s="176"/>
      <c r="C107" s="176"/>
      <c r="D107" s="176"/>
      <c r="E107" s="176"/>
      <c r="F107" s="176"/>
      <c r="G107" s="176"/>
      <c r="H107" s="176"/>
      <c r="I107" s="176"/>
    </row>
    <row r="108" spans="1:9" ht="12.75">
      <c r="A108" s="176"/>
      <c r="B108" s="176"/>
      <c r="C108" s="176"/>
      <c r="D108" s="176"/>
      <c r="E108" s="176"/>
      <c r="F108" s="176"/>
      <c r="G108" s="176"/>
      <c r="H108" s="176"/>
      <c r="I108" s="176"/>
    </row>
    <row r="109" spans="1:9" ht="12.75">
      <c r="A109" s="176"/>
      <c r="B109" s="176"/>
      <c r="C109" s="176"/>
      <c r="D109" s="176"/>
      <c r="E109" s="176"/>
      <c r="F109" s="176"/>
      <c r="G109" s="176"/>
      <c r="H109" s="176"/>
      <c r="I109" s="176"/>
    </row>
    <row r="110" spans="1:9" ht="12.75">
      <c r="A110" s="176"/>
      <c r="B110" s="176"/>
      <c r="C110" s="176"/>
      <c r="D110" s="176"/>
      <c r="E110" s="176"/>
      <c r="F110" s="176"/>
      <c r="G110" s="176"/>
      <c r="H110" s="176"/>
      <c r="I110" s="176"/>
    </row>
    <row r="111" spans="1:9" ht="12.75">
      <c r="A111" s="176"/>
      <c r="B111" s="176"/>
      <c r="C111" s="176"/>
      <c r="D111" s="176"/>
      <c r="E111" s="176"/>
      <c r="F111" s="176"/>
      <c r="G111" s="176"/>
      <c r="H111" s="176"/>
      <c r="I111" s="176"/>
    </row>
    <row r="112" spans="1:9" ht="12.75">
      <c r="A112" s="176"/>
      <c r="B112" s="176"/>
      <c r="C112" s="176"/>
      <c r="D112" s="176"/>
      <c r="E112" s="176"/>
      <c r="F112" s="176"/>
      <c r="G112" s="176"/>
      <c r="H112" s="176"/>
      <c r="I112" s="176"/>
    </row>
    <row r="113" spans="1:9" ht="12.75">
      <c r="A113" s="176"/>
      <c r="B113" s="176"/>
      <c r="C113" s="176"/>
      <c r="D113" s="176"/>
      <c r="E113" s="176"/>
      <c r="F113" s="176"/>
      <c r="G113" s="176"/>
      <c r="H113" s="176"/>
      <c r="I113" s="176"/>
    </row>
    <row r="114" spans="1:9" ht="12.75">
      <c r="A114" s="176"/>
      <c r="B114" s="176"/>
      <c r="C114" s="176"/>
      <c r="D114" s="176"/>
      <c r="E114" s="176"/>
      <c r="F114" s="176"/>
      <c r="G114" s="176"/>
      <c r="H114" s="176"/>
      <c r="I114" s="176"/>
    </row>
    <row r="115" spans="1:9" ht="12.75">
      <c r="A115" s="176"/>
      <c r="B115" s="176"/>
      <c r="C115" s="176"/>
      <c r="D115" s="176"/>
      <c r="E115" s="176"/>
      <c r="F115" s="176"/>
      <c r="G115" s="176"/>
      <c r="H115" s="176"/>
      <c r="I115" s="176"/>
    </row>
    <row r="116" spans="1:9" ht="12.75">
      <c r="A116" s="176"/>
      <c r="B116" s="176"/>
      <c r="C116" s="176"/>
      <c r="D116" s="176"/>
      <c r="E116" s="176"/>
      <c r="F116" s="176"/>
      <c r="G116" s="176"/>
      <c r="H116" s="176"/>
      <c r="I116" s="176"/>
    </row>
    <row r="117" spans="1:9" ht="12.75">
      <c r="A117" s="176"/>
      <c r="B117" s="251"/>
      <c r="C117" s="349" t="s">
        <v>141</v>
      </c>
      <c r="D117" s="349"/>
      <c r="E117" s="349"/>
      <c r="F117" s="349"/>
      <c r="G117" s="349"/>
      <c r="H117" s="176"/>
      <c r="I117" s="176"/>
    </row>
    <row r="118" spans="1:9" ht="15.75">
      <c r="A118" s="251"/>
      <c r="B118" s="176"/>
      <c r="C118" s="348" t="s">
        <v>166</v>
      </c>
      <c r="D118" s="348"/>
      <c r="E118" s="348"/>
      <c r="F118" s="348"/>
      <c r="G118" s="348"/>
      <c r="H118" s="348"/>
      <c r="I118" s="176"/>
    </row>
    <row r="119" spans="1:9" ht="12.75">
      <c r="A119" s="251"/>
      <c r="B119" s="251"/>
      <c r="C119" s="349" t="s">
        <v>142</v>
      </c>
      <c r="D119" s="349"/>
      <c r="E119" s="349"/>
      <c r="F119" s="349"/>
      <c r="G119" s="349"/>
      <c r="H119" s="176"/>
      <c r="I119" s="176"/>
    </row>
    <row r="120" spans="1:9" ht="12.75">
      <c r="A120" s="251"/>
      <c r="B120" s="251"/>
      <c r="C120" s="349" t="s">
        <v>246</v>
      </c>
      <c r="D120" s="349"/>
      <c r="E120" s="349"/>
      <c r="F120" s="349"/>
      <c r="G120" s="349"/>
      <c r="H120" s="349"/>
      <c r="I120" s="349"/>
    </row>
    <row r="121" spans="1:9" ht="12.75">
      <c r="A121" s="251"/>
      <c r="B121" s="251"/>
      <c r="C121" s="349" t="s">
        <v>299</v>
      </c>
      <c r="D121" s="349"/>
      <c r="E121" s="349"/>
      <c r="F121" s="349"/>
      <c r="G121" s="349"/>
      <c r="H121" s="176"/>
      <c r="I121" s="176"/>
    </row>
    <row r="122" spans="1:9" ht="12.75">
      <c r="A122" s="251"/>
      <c r="B122" s="251"/>
      <c r="C122" s="349" t="s">
        <v>248</v>
      </c>
      <c r="D122" s="349"/>
      <c r="E122" s="349"/>
      <c r="F122" s="349"/>
      <c r="G122" s="349"/>
      <c r="H122" s="176"/>
      <c r="I122" s="176"/>
    </row>
    <row r="123" spans="1:9" ht="12.75">
      <c r="A123" s="403" t="s">
        <v>296</v>
      </c>
      <c r="B123" s="403"/>
      <c r="C123" s="403"/>
      <c r="D123" s="403"/>
      <c r="E123" s="176"/>
      <c r="F123" s="176"/>
      <c r="G123" s="176"/>
      <c r="H123" s="176"/>
      <c r="I123" s="176"/>
    </row>
    <row r="124" spans="1:9" ht="12.75">
      <c r="A124" s="176"/>
      <c r="B124" s="176"/>
      <c r="C124" s="176"/>
      <c r="D124" s="176"/>
      <c r="E124" s="176"/>
      <c r="F124" s="176"/>
      <c r="G124" s="176"/>
      <c r="H124" s="176"/>
      <c r="I124" s="176"/>
    </row>
    <row r="125" spans="1:9" ht="12.75">
      <c r="A125" s="408" t="s">
        <v>272</v>
      </c>
      <c r="B125" s="409"/>
      <c r="C125" s="408" t="s">
        <v>307</v>
      </c>
      <c r="D125" s="409"/>
      <c r="E125" s="408" t="s">
        <v>274</v>
      </c>
      <c r="F125" s="409"/>
      <c r="G125" s="176"/>
      <c r="H125" s="176"/>
      <c r="I125" s="176"/>
    </row>
    <row r="126" spans="1:9" ht="12.75">
      <c r="A126" s="369">
        <v>2015</v>
      </c>
      <c r="B126" s="370"/>
      <c r="C126" s="400">
        <f>('Quadro de Despesa'!E20)</f>
        <v>0</v>
      </c>
      <c r="D126" s="372"/>
      <c r="E126" s="442"/>
      <c r="F126" s="443"/>
      <c r="G126" s="176"/>
      <c r="H126" s="176"/>
      <c r="I126" s="176"/>
    </row>
    <row r="127" spans="1:9" ht="12.75">
      <c r="A127" s="375">
        <v>2016</v>
      </c>
      <c r="B127" s="376"/>
      <c r="C127" s="402">
        <f>('Quadro de Despesa'!F20)</f>
        <v>0</v>
      </c>
      <c r="D127" s="378"/>
      <c r="E127" s="391" t="e">
        <f>(C127/(C126/100))-100</f>
        <v>#DIV/0!</v>
      </c>
      <c r="F127" s="380"/>
      <c r="G127" s="176"/>
      <c r="H127" s="176"/>
      <c r="I127" s="176"/>
    </row>
    <row r="128" spans="1:9" ht="12.75">
      <c r="A128" s="375">
        <v>2017</v>
      </c>
      <c r="B128" s="376"/>
      <c r="C128" s="402">
        <f>('Quadro de Despesa'!G20)</f>
        <v>100000</v>
      </c>
      <c r="D128" s="378"/>
      <c r="E128" s="391" t="e">
        <f>(C128/(C127/100))-100</f>
        <v>#DIV/0!</v>
      </c>
      <c r="F128" s="380"/>
      <c r="G128" s="176"/>
      <c r="H128" s="176"/>
      <c r="I128" s="176"/>
    </row>
    <row r="129" spans="1:9" ht="12.75">
      <c r="A129" s="375">
        <v>2018</v>
      </c>
      <c r="B129" s="376"/>
      <c r="C129" s="402">
        <f>('Quadro de Despesa'!H20)</f>
        <v>109070</v>
      </c>
      <c r="D129" s="378"/>
      <c r="E129" s="391">
        <f>(C129/(C128/100))-100</f>
        <v>9.069999999999993</v>
      </c>
      <c r="F129" s="380"/>
      <c r="G129" s="176"/>
      <c r="H129" s="176"/>
      <c r="I129" s="176"/>
    </row>
    <row r="130" spans="1:9" ht="12.75">
      <c r="A130" s="375">
        <v>2019</v>
      </c>
      <c r="B130" s="376"/>
      <c r="C130" s="402">
        <f>('Quadro de Despesa'!I20)</f>
        <v>116159.54999999999</v>
      </c>
      <c r="D130" s="378"/>
      <c r="E130" s="391">
        <f>(C130/(C129/100))-100</f>
        <v>6.499999999999986</v>
      </c>
      <c r="F130" s="380"/>
      <c r="G130" s="176"/>
      <c r="H130" s="176"/>
      <c r="I130" s="176"/>
    </row>
    <row r="131" spans="1:9" ht="12.75">
      <c r="A131" s="381">
        <v>2020</v>
      </c>
      <c r="B131" s="382"/>
      <c r="C131" s="399">
        <f>('Quadro de Despesa'!J20)</f>
        <v>123709.92074999998</v>
      </c>
      <c r="D131" s="384"/>
      <c r="E131" s="385">
        <f>(C131/(C130/100))-100</f>
        <v>6.499999999999986</v>
      </c>
      <c r="F131" s="386"/>
      <c r="G131" s="176"/>
      <c r="H131" s="176"/>
      <c r="I131" s="176"/>
    </row>
    <row r="132" spans="1:9" ht="12.75">
      <c r="A132" s="176"/>
      <c r="B132" s="176"/>
      <c r="C132" s="176"/>
      <c r="D132" s="176"/>
      <c r="E132" s="176"/>
      <c r="F132" s="176"/>
      <c r="G132" s="176"/>
      <c r="H132" s="176"/>
      <c r="I132" s="176"/>
    </row>
    <row r="133" spans="1:9" ht="12.75">
      <c r="A133" s="256" t="s">
        <v>161</v>
      </c>
      <c r="B133" s="176"/>
      <c r="C133" s="176"/>
      <c r="D133" s="176"/>
      <c r="E133" s="176"/>
      <c r="F133" s="176"/>
      <c r="G133" s="176"/>
      <c r="H133" s="176"/>
      <c r="I133" s="176"/>
    </row>
    <row r="134" spans="1:9" ht="12.75">
      <c r="A134" s="349" t="s">
        <v>311</v>
      </c>
      <c r="B134" s="349"/>
      <c r="C134" s="349"/>
      <c r="D134" s="349"/>
      <c r="E134" s="349"/>
      <c r="F134" s="349"/>
      <c r="G134" s="349"/>
      <c r="H134" s="349"/>
      <c r="I134" s="349"/>
    </row>
    <row r="135" spans="1:9" ht="12.75">
      <c r="A135" s="176" t="s">
        <v>312</v>
      </c>
      <c r="B135" s="251"/>
      <c r="C135" s="251"/>
      <c r="D135" s="251"/>
      <c r="E135" s="251"/>
      <c r="F135" s="251"/>
      <c r="G135" s="251"/>
      <c r="H135" s="251"/>
      <c r="I135" s="251"/>
    </row>
    <row r="136" spans="1:9" ht="12.75">
      <c r="A136" s="252"/>
      <c r="B136" s="252"/>
      <c r="C136" s="252"/>
      <c r="D136" s="252"/>
      <c r="E136" s="252"/>
      <c r="F136" s="252"/>
      <c r="G136" s="252"/>
      <c r="H136" s="252"/>
      <c r="I136" s="252"/>
    </row>
    <row r="137" spans="1:9" ht="12.75">
      <c r="A137" s="403" t="s">
        <v>297</v>
      </c>
      <c r="B137" s="403"/>
      <c r="C137" s="403"/>
      <c r="D137" s="403"/>
      <c r="E137" s="176"/>
      <c r="F137" s="176"/>
      <c r="G137" s="176"/>
      <c r="H137" s="176"/>
      <c r="I137" s="176"/>
    </row>
    <row r="138" spans="1:9" ht="12.75">
      <c r="A138" s="176"/>
      <c r="B138" s="176"/>
      <c r="C138" s="176"/>
      <c r="D138" s="176"/>
      <c r="E138" s="176"/>
      <c r="F138" s="176"/>
      <c r="G138" s="176"/>
      <c r="H138" s="176"/>
      <c r="I138" s="176"/>
    </row>
    <row r="139" spans="1:9" ht="12.75">
      <c r="A139" s="408" t="s">
        <v>272</v>
      </c>
      <c r="B139" s="409"/>
      <c r="C139" s="408" t="s">
        <v>307</v>
      </c>
      <c r="D139" s="409"/>
      <c r="E139" s="408" t="s">
        <v>274</v>
      </c>
      <c r="F139" s="409"/>
      <c r="G139" s="176"/>
      <c r="H139" s="176"/>
      <c r="I139" s="176"/>
    </row>
    <row r="140" spans="1:9" ht="12.75">
      <c r="A140" s="369">
        <v>2015</v>
      </c>
      <c r="B140" s="370"/>
      <c r="C140" s="400">
        <f>('Quadro de Despesa'!E21)</f>
        <v>0</v>
      </c>
      <c r="D140" s="372"/>
      <c r="E140" s="442"/>
      <c r="F140" s="443"/>
      <c r="G140" s="176"/>
      <c r="H140" s="176"/>
      <c r="I140" s="176"/>
    </row>
    <row r="141" spans="1:9" ht="12.75">
      <c r="A141" s="375">
        <v>2016</v>
      </c>
      <c r="B141" s="376"/>
      <c r="C141" s="402">
        <f>('Quadro de Despesa'!F21)</f>
        <v>0</v>
      </c>
      <c r="D141" s="378"/>
      <c r="E141" s="391" t="e">
        <f>(C141/(C140/100))-100</f>
        <v>#DIV/0!</v>
      </c>
      <c r="F141" s="380"/>
      <c r="G141" s="176"/>
      <c r="H141" s="176"/>
      <c r="I141" s="176"/>
    </row>
    <row r="142" spans="1:9" ht="12.75">
      <c r="A142" s="375">
        <v>2017</v>
      </c>
      <c r="B142" s="376"/>
      <c r="C142" s="402">
        <f>('Quadro de Despesa'!G21)</f>
        <v>0</v>
      </c>
      <c r="D142" s="378"/>
      <c r="E142" s="391" t="e">
        <f>(C142/(C141/100))-100</f>
        <v>#DIV/0!</v>
      </c>
      <c r="F142" s="380"/>
      <c r="G142" s="176"/>
      <c r="H142" s="176"/>
      <c r="I142" s="176"/>
    </row>
    <row r="143" spans="1:9" ht="12.75">
      <c r="A143" s="375">
        <v>2018</v>
      </c>
      <c r="B143" s="376"/>
      <c r="C143" s="402">
        <f>('Quadro de Despesa'!H21)</f>
        <v>0</v>
      </c>
      <c r="D143" s="378"/>
      <c r="E143" s="391" t="e">
        <f>(C143/(C142/100))-100</f>
        <v>#DIV/0!</v>
      </c>
      <c r="F143" s="380"/>
      <c r="G143" s="176"/>
      <c r="H143" s="176"/>
      <c r="I143" s="176"/>
    </row>
    <row r="144" spans="1:9" ht="12.75">
      <c r="A144" s="375">
        <v>2019</v>
      </c>
      <c r="B144" s="376"/>
      <c r="C144" s="402">
        <f>('Quadro de Despesa'!I21)</f>
        <v>0</v>
      </c>
      <c r="D144" s="378"/>
      <c r="E144" s="391" t="e">
        <f>(C144/(C143/100))-100</f>
        <v>#DIV/0!</v>
      </c>
      <c r="F144" s="380"/>
      <c r="G144" s="176"/>
      <c r="H144" s="176"/>
      <c r="I144" s="176"/>
    </row>
    <row r="145" spans="1:9" ht="12.75">
      <c r="A145" s="381">
        <v>2020</v>
      </c>
      <c r="B145" s="382"/>
      <c r="C145" s="399">
        <f>('Quadro de Despesa'!J21)</f>
        <v>0</v>
      </c>
      <c r="D145" s="384"/>
      <c r="E145" s="385" t="e">
        <f>(C145/(C144/100))-100</f>
        <v>#DIV/0!</v>
      </c>
      <c r="F145" s="386"/>
      <c r="G145" s="176"/>
      <c r="H145" s="176"/>
      <c r="I145" s="176"/>
    </row>
    <row r="146" spans="1:9" ht="12.75">
      <c r="A146" s="269"/>
      <c r="B146" s="269"/>
      <c r="C146" s="254"/>
      <c r="D146" s="254"/>
      <c r="E146" s="255"/>
      <c r="F146" s="255"/>
      <c r="G146" s="176"/>
      <c r="H146" s="176"/>
      <c r="I146" s="176"/>
    </row>
    <row r="147" spans="1:9" ht="12.75">
      <c r="A147" s="256" t="s">
        <v>161</v>
      </c>
      <c r="B147" s="176"/>
      <c r="C147" s="176"/>
      <c r="D147" s="176"/>
      <c r="E147" s="176"/>
      <c r="F147" s="176"/>
      <c r="G147" s="176"/>
      <c r="H147" s="176"/>
      <c r="I147" s="176"/>
    </row>
    <row r="148" spans="1:9" ht="12.75">
      <c r="A148" s="349" t="s">
        <v>311</v>
      </c>
      <c r="B148" s="349"/>
      <c r="C148" s="349"/>
      <c r="D148" s="349"/>
      <c r="E148" s="349"/>
      <c r="F148" s="349"/>
      <c r="G148" s="349"/>
      <c r="H148" s="349"/>
      <c r="I148" s="349"/>
    </row>
    <row r="149" spans="1:9" ht="12.75">
      <c r="A149" s="176" t="s">
        <v>312</v>
      </c>
      <c r="B149" s="251"/>
      <c r="C149" s="251"/>
      <c r="D149" s="251"/>
      <c r="E149" s="251"/>
      <c r="F149" s="251"/>
      <c r="G149" s="251"/>
      <c r="H149" s="251"/>
      <c r="I149" s="251"/>
    </row>
  </sheetData>
  <sheetProtection/>
  <mergeCells count="215">
    <mergeCell ref="A145:B145"/>
    <mergeCell ref="C145:D145"/>
    <mergeCell ref="E145:F145"/>
    <mergeCell ref="A148:I148"/>
    <mergeCell ref="A143:B143"/>
    <mergeCell ref="C143:D143"/>
    <mergeCell ref="E143:F143"/>
    <mergeCell ref="A144:B144"/>
    <mergeCell ref="C144:D144"/>
    <mergeCell ref="E144:F144"/>
    <mergeCell ref="A141:B141"/>
    <mergeCell ref="C141:D141"/>
    <mergeCell ref="E141:F141"/>
    <mergeCell ref="A142:B142"/>
    <mergeCell ref="C142:D142"/>
    <mergeCell ref="E142:F142"/>
    <mergeCell ref="A134:I134"/>
    <mergeCell ref="A137:D137"/>
    <mergeCell ref="A139:B139"/>
    <mergeCell ref="C139:D139"/>
    <mergeCell ref="E139:F139"/>
    <mergeCell ref="A140:B140"/>
    <mergeCell ref="C140:D140"/>
    <mergeCell ref="E140:F140"/>
    <mergeCell ref="A130:B130"/>
    <mergeCell ref="C130:D130"/>
    <mergeCell ref="E130:F130"/>
    <mergeCell ref="A131:B131"/>
    <mergeCell ref="C131:D131"/>
    <mergeCell ref="E131:F131"/>
    <mergeCell ref="A128:B128"/>
    <mergeCell ref="C128:D128"/>
    <mergeCell ref="E128:F128"/>
    <mergeCell ref="A129:B129"/>
    <mergeCell ref="C129:D129"/>
    <mergeCell ref="E129:F129"/>
    <mergeCell ref="A126:B126"/>
    <mergeCell ref="C126:D126"/>
    <mergeCell ref="E126:F126"/>
    <mergeCell ref="A127:B127"/>
    <mergeCell ref="C127:D127"/>
    <mergeCell ref="E127:F127"/>
    <mergeCell ref="C120:I120"/>
    <mergeCell ref="C121:G121"/>
    <mergeCell ref="C122:G122"/>
    <mergeCell ref="A123:D123"/>
    <mergeCell ref="A125:B125"/>
    <mergeCell ref="C125:D125"/>
    <mergeCell ref="E125:F125"/>
    <mergeCell ref="A102:B102"/>
    <mergeCell ref="C102:D102"/>
    <mergeCell ref="E102:F102"/>
    <mergeCell ref="C118:H118"/>
    <mergeCell ref="C117:G117"/>
    <mergeCell ref="C119:G119"/>
    <mergeCell ref="A100:B100"/>
    <mergeCell ref="C100:D100"/>
    <mergeCell ref="E100:F100"/>
    <mergeCell ref="A101:B101"/>
    <mergeCell ref="C101:D101"/>
    <mergeCell ref="E101:F101"/>
    <mergeCell ref="A98:B98"/>
    <mergeCell ref="C98:D98"/>
    <mergeCell ref="E98:F98"/>
    <mergeCell ref="A99:B99"/>
    <mergeCell ref="C99:D99"/>
    <mergeCell ref="E99:F99"/>
    <mergeCell ref="A94:C94"/>
    <mergeCell ref="A96:B96"/>
    <mergeCell ref="C96:D96"/>
    <mergeCell ref="E96:F96"/>
    <mergeCell ref="A97:B97"/>
    <mergeCell ref="C97:D97"/>
    <mergeCell ref="E97:F97"/>
    <mergeCell ref="A87:B87"/>
    <mergeCell ref="C87:D87"/>
    <mergeCell ref="E87:F87"/>
    <mergeCell ref="A88:B88"/>
    <mergeCell ref="C88:D88"/>
    <mergeCell ref="E88:F88"/>
    <mergeCell ref="A85:B85"/>
    <mergeCell ref="C85:D85"/>
    <mergeCell ref="E85:F85"/>
    <mergeCell ref="A86:B86"/>
    <mergeCell ref="C86:D86"/>
    <mergeCell ref="E86:F86"/>
    <mergeCell ref="A83:B83"/>
    <mergeCell ref="C83:D83"/>
    <mergeCell ref="E83:F83"/>
    <mergeCell ref="A84:B84"/>
    <mergeCell ref="C84:D84"/>
    <mergeCell ref="E84:F84"/>
    <mergeCell ref="A75:B75"/>
    <mergeCell ref="C75:D75"/>
    <mergeCell ref="E75:F75"/>
    <mergeCell ref="A80:D80"/>
    <mergeCell ref="A82:B82"/>
    <mergeCell ref="C82:D82"/>
    <mergeCell ref="E82:F82"/>
    <mergeCell ref="A73:B73"/>
    <mergeCell ref="C73:D73"/>
    <mergeCell ref="E73:F73"/>
    <mergeCell ref="A74:B74"/>
    <mergeCell ref="C74:D74"/>
    <mergeCell ref="E74:F74"/>
    <mergeCell ref="A71:B71"/>
    <mergeCell ref="C71:D71"/>
    <mergeCell ref="E71:F71"/>
    <mergeCell ref="A72:B72"/>
    <mergeCell ref="C72:D72"/>
    <mergeCell ref="E72:F72"/>
    <mergeCell ref="A67:C67"/>
    <mergeCell ref="A69:B69"/>
    <mergeCell ref="C69:D69"/>
    <mergeCell ref="E69:F69"/>
    <mergeCell ref="A70:B70"/>
    <mergeCell ref="C70:D70"/>
    <mergeCell ref="E70:F70"/>
    <mergeCell ref="C61:H61"/>
    <mergeCell ref="C60:G60"/>
    <mergeCell ref="C62:G62"/>
    <mergeCell ref="C63:I63"/>
    <mergeCell ref="C64:G64"/>
    <mergeCell ref="C65:G65"/>
    <mergeCell ref="A54:B54"/>
    <mergeCell ref="C54:D54"/>
    <mergeCell ref="E54:F54"/>
    <mergeCell ref="A55:B55"/>
    <mergeCell ref="C55:D55"/>
    <mergeCell ref="E55:F55"/>
    <mergeCell ref="A52:B52"/>
    <mergeCell ref="C52:D52"/>
    <mergeCell ref="E52:F52"/>
    <mergeCell ref="A53:B53"/>
    <mergeCell ref="C53:D53"/>
    <mergeCell ref="E53:F53"/>
    <mergeCell ref="A50:B50"/>
    <mergeCell ref="C50:D50"/>
    <mergeCell ref="E50:F50"/>
    <mergeCell ref="A51:B51"/>
    <mergeCell ref="C51:D51"/>
    <mergeCell ref="E51:F51"/>
    <mergeCell ref="A42:B42"/>
    <mergeCell ref="C42:D42"/>
    <mergeCell ref="E42:F42"/>
    <mergeCell ref="A47:C47"/>
    <mergeCell ref="A49:B49"/>
    <mergeCell ref="C49:D49"/>
    <mergeCell ref="E49:F49"/>
    <mergeCell ref="A40:B40"/>
    <mergeCell ref="C40:D40"/>
    <mergeCell ref="E40:F40"/>
    <mergeCell ref="A41:B41"/>
    <mergeCell ref="C41:D41"/>
    <mergeCell ref="E41:F41"/>
    <mergeCell ref="A38:B38"/>
    <mergeCell ref="C38:D38"/>
    <mergeCell ref="E38:F38"/>
    <mergeCell ref="A39:B39"/>
    <mergeCell ref="C39:D39"/>
    <mergeCell ref="E39:F39"/>
    <mergeCell ref="A34:D34"/>
    <mergeCell ref="A36:B36"/>
    <mergeCell ref="C36:D36"/>
    <mergeCell ref="A37:B37"/>
    <mergeCell ref="C37:D37"/>
    <mergeCell ref="E37:F37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16:B16"/>
    <mergeCell ref="C16:D16"/>
    <mergeCell ref="E16:F16"/>
    <mergeCell ref="A23:B23"/>
    <mergeCell ref="C23:D23"/>
    <mergeCell ref="E23:F23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C2:H2"/>
    <mergeCell ref="C1:G1"/>
    <mergeCell ref="C3:G3"/>
    <mergeCell ref="C4:I4"/>
    <mergeCell ref="C5:G5"/>
    <mergeCell ref="C6:G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54"/>
  <sheetViews>
    <sheetView zoomScalePageLayoutView="0" workbookViewId="0" topLeftCell="A7">
      <selection activeCell="A30" sqref="A30:E30"/>
    </sheetView>
  </sheetViews>
  <sheetFormatPr defaultColWidth="9.140625" defaultRowHeight="12.75"/>
  <cols>
    <col min="1" max="1" width="11.8515625" style="0" customWidth="1"/>
    <col min="4" max="4" width="10.7109375" style="0" customWidth="1"/>
    <col min="5" max="5" width="3.00390625" style="0" customWidth="1"/>
    <col min="6" max="11" width="11.7109375" style="0" customWidth="1"/>
  </cols>
  <sheetData>
    <row r="1" spans="2:8" ht="12.75">
      <c r="B1" s="349" t="s">
        <v>141</v>
      </c>
      <c r="C1" s="349"/>
      <c r="D1" s="349"/>
      <c r="E1" s="349"/>
      <c r="F1" s="349"/>
      <c r="G1" s="77"/>
      <c r="H1" s="77"/>
    </row>
    <row r="2" spans="2:8" ht="15.75">
      <c r="B2" s="348" t="s">
        <v>166</v>
      </c>
      <c r="C2" s="348"/>
      <c r="D2" s="348"/>
      <c r="E2" s="348"/>
      <c r="F2" s="348"/>
      <c r="G2" s="348"/>
      <c r="H2" s="77"/>
    </row>
    <row r="3" spans="2:8" ht="12.75">
      <c r="B3" s="365" t="s">
        <v>142</v>
      </c>
      <c r="C3" s="365"/>
      <c r="D3" s="365"/>
      <c r="E3" s="365"/>
      <c r="F3" s="365"/>
      <c r="G3" s="77"/>
      <c r="H3" s="77"/>
    </row>
    <row r="4" spans="2:8" ht="12.75">
      <c r="B4" s="465" t="s">
        <v>246</v>
      </c>
      <c r="C4" s="465"/>
      <c r="D4" s="465"/>
      <c r="E4" s="465"/>
      <c r="F4" s="465"/>
      <c r="G4" s="465"/>
      <c r="H4" s="465"/>
    </row>
    <row r="5" spans="2:8" ht="12.75">
      <c r="B5" s="465" t="s">
        <v>314</v>
      </c>
      <c r="C5" s="465"/>
      <c r="D5" s="465"/>
      <c r="E5" s="465"/>
      <c r="F5" s="465"/>
      <c r="G5" s="288"/>
      <c r="H5" s="288"/>
    </row>
    <row r="6" spans="2:11" ht="12.75">
      <c r="B6" s="465" t="s">
        <v>248</v>
      </c>
      <c r="C6" s="465"/>
      <c r="D6" s="465"/>
      <c r="E6" s="465"/>
      <c r="F6" s="465"/>
      <c r="G6" s="288"/>
      <c r="H6" s="288"/>
      <c r="K6" s="289">
        <v>1</v>
      </c>
    </row>
    <row r="7" spans="1:11" ht="12.75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</row>
    <row r="8" spans="1:11" ht="12.75">
      <c r="A8" s="350" t="s">
        <v>93</v>
      </c>
      <c r="B8" s="350"/>
      <c r="C8" s="350"/>
      <c r="D8" s="350"/>
      <c r="E8" s="350"/>
      <c r="F8" s="161">
        <v>2015</v>
      </c>
      <c r="G8" s="161">
        <v>2016</v>
      </c>
      <c r="H8" s="161">
        <v>2017</v>
      </c>
      <c r="I8" s="161">
        <v>2018</v>
      </c>
      <c r="J8" s="161">
        <v>2019</v>
      </c>
      <c r="K8" s="161">
        <v>2020</v>
      </c>
    </row>
    <row r="9" spans="1:11" ht="12.75">
      <c r="A9" s="462" t="s">
        <v>315</v>
      </c>
      <c r="B9" s="463"/>
      <c r="C9" s="463"/>
      <c r="D9" s="463"/>
      <c r="E9" s="464"/>
      <c r="F9" s="291">
        <f>('Quadro de Receitas'!E10)</f>
        <v>20003055.18</v>
      </c>
      <c r="G9" s="291">
        <f>('Quadro de Receitas'!F10)</f>
        <v>21924930.63</v>
      </c>
      <c r="H9" s="291">
        <f>('Quadro de Receitas'!G10)</f>
        <v>28231222</v>
      </c>
      <c r="I9" s="291">
        <f>('Quadro de Receitas'!H10)</f>
        <v>30791793.835399996</v>
      </c>
      <c r="J9" s="291">
        <f>('Quadro de Receitas'!I10)</f>
        <v>32793260.434701</v>
      </c>
      <c r="K9" s="291">
        <f>('Quadro de Receitas'!J10)</f>
        <v>34924822.36295656</v>
      </c>
    </row>
    <row r="10" spans="1:11" ht="12.75">
      <c r="A10" s="459" t="s">
        <v>316</v>
      </c>
      <c r="B10" s="460"/>
      <c r="C10" s="460"/>
      <c r="D10" s="460"/>
      <c r="E10" s="461"/>
      <c r="F10" s="290">
        <f>+'Quadro de Receitas'!E11</f>
        <v>518252.21</v>
      </c>
      <c r="G10" s="290">
        <f>('Quadro de Receitas'!F11)</f>
        <v>581438.51</v>
      </c>
      <c r="H10" s="290">
        <f>('Quadro de Receitas'!G11)</f>
        <v>749700</v>
      </c>
      <c r="I10" s="290">
        <f>('Quadro de Receitas'!H11)</f>
        <v>817697.79</v>
      </c>
      <c r="J10" s="290">
        <f>('Quadro de Receitas'!I11)</f>
        <v>870848.14635</v>
      </c>
      <c r="K10" s="290">
        <f>('Quadro de Receitas'!J11)</f>
        <v>927453.27586275</v>
      </c>
    </row>
    <row r="11" spans="1:11" ht="12.75">
      <c r="A11" s="459" t="s">
        <v>317</v>
      </c>
      <c r="B11" s="460"/>
      <c r="C11" s="460"/>
      <c r="D11" s="460"/>
      <c r="E11" s="461"/>
      <c r="F11" s="290">
        <f>+'Quadro de Receitas'!E12</f>
        <v>421961.83</v>
      </c>
      <c r="G11" s="290">
        <f>('Quadro de Receitas'!F12)</f>
        <v>461490.02</v>
      </c>
      <c r="H11" s="290">
        <f>('Quadro de Receitas'!G12)</f>
        <v>480000</v>
      </c>
      <c r="I11" s="290">
        <f>('Quadro de Receitas'!H12)</f>
        <v>523536</v>
      </c>
      <c r="J11" s="290">
        <f>('Quadro de Receitas'!I12)</f>
        <v>557565.84</v>
      </c>
      <c r="K11" s="290">
        <f>('Quadro de Receitas'!J12)</f>
        <v>593807.6196</v>
      </c>
    </row>
    <row r="12" spans="1:11" ht="12.75">
      <c r="A12" s="459" t="s">
        <v>183</v>
      </c>
      <c r="B12" s="460"/>
      <c r="C12" s="460"/>
      <c r="D12" s="460"/>
      <c r="E12" s="461"/>
      <c r="F12" s="290">
        <f>+'Quadro de Receitas'!E13</f>
        <v>311872.13</v>
      </c>
      <c r="G12" s="290">
        <f>('Quadro de Receitas'!F13)</f>
        <v>347158.11</v>
      </c>
      <c r="H12" s="290">
        <f>('Quadro de Receitas'!G13)</f>
        <v>481000</v>
      </c>
      <c r="I12" s="290">
        <f>('Quadro de Receitas'!H13)</f>
        <v>524626.7</v>
      </c>
      <c r="J12" s="290">
        <f>('Quadro de Receitas'!I13)</f>
        <v>558727.4354999999</v>
      </c>
      <c r="K12" s="290">
        <f>('Quadro de Receitas'!J13)</f>
        <v>595044.7188074999</v>
      </c>
    </row>
    <row r="13" spans="1:11" ht="12.75">
      <c r="A13" s="459" t="s">
        <v>318</v>
      </c>
      <c r="B13" s="460"/>
      <c r="C13" s="460"/>
      <c r="D13" s="460"/>
      <c r="E13" s="461"/>
      <c r="F13" s="290">
        <v>249813.06</v>
      </c>
      <c r="G13" s="290">
        <v>296477.91</v>
      </c>
      <c r="H13" s="290">
        <v>405000</v>
      </c>
      <c r="I13" s="290">
        <f>I12*1.0907</f>
        <v>572210.3416899999</v>
      </c>
      <c r="J13" s="290">
        <f>J12*87.5%</f>
        <v>488886.50606249995</v>
      </c>
      <c r="K13" s="290">
        <f>K12*87.5%</f>
        <v>520664.1289565624</v>
      </c>
    </row>
    <row r="14" spans="1:11" ht="12.75">
      <c r="A14" s="459" t="s">
        <v>319</v>
      </c>
      <c r="B14" s="460"/>
      <c r="C14" s="460"/>
      <c r="D14" s="460"/>
      <c r="E14" s="461"/>
      <c r="F14" s="290">
        <f aca="true" t="shared" si="0" ref="F14:K14">F12-F13</f>
        <v>62059.07000000001</v>
      </c>
      <c r="G14" s="290">
        <f t="shared" si="0"/>
        <v>50680.20000000001</v>
      </c>
      <c r="H14" s="290">
        <f t="shared" si="0"/>
        <v>76000</v>
      </c>
      <c r="I14" s="290">
        <f t="shared" si="0"/>
        <v>-47583.64168999996</v>
      </c>
      <c r="J14" s="290">
        <f t="shared" si="0"/>
        <v>69840.92943749996</v>
      </c>
      <c r="K14" s="290">
        <f t="shared" si="0"/>
        <v>74380.58985093748</v>
      </c>
    </row>
    <row r="15" spans="1:11" ht="12.75">
      <c r="A15" s="459" t="s">
        <v>320</v>
      </c>
      <c r="B15" s="460"/>
      <c r="C15" s="460"/>
      <c r="D15" s="460"/>
      <c r="E15" s="461"/>
      <c r="F15" s="290">
        <f>+'Quadro de Receitas'!E14</f>
        <v>0</v>
      </c>
      <c r="G15" s="290">
        <f>('Quadro de Receitas'!F14)</f>
        <v>0</v>
      </c>
      <c r="H15" s="290">
        <f>('Quadro de Receitas'!G14)</f>
        <v>0</v>
      </c>
      <c r="I15" s="290">
        <f>('Quadro de Receitas'!H14)</f>
        <v>0</v>
      </c>
      <c r="J15" s="290">
        <f>('Quadro de Receitas'!I14)</f>
        <v>0</v>
      </c>
      <c r="K15" s="290">
        <f>('Quadro de Receitas'!J14)</f>
        <v>0</v>
      </c>
    </row>
    <row r="16" spans="1:11" ht="12.75">
      <c r="A16" s="459" t="s">
        <v>321</v>
      </c>
      <c r="B16" s="460"/>
      <c r="C16" s="460"/>
      <c r="D16" s="460"/>
      <c r="E16" s="461"/>
      <c r="F16" s="290">
        <f>+'Quadro de Receitas'!E15</f>
        <v>0</v>
      </c>
      <c r="G16" s="290">
        <f>('Quadro de Receitas'!F15)</f>
        <v>0</v>
      </c>
      <c r="H16" s="290">
        <f>('Quadro de Receitas'!G15)</f>
        <v>0</v>
      </c>
      <c r="I16" s="290">
        <f>('Quadro de Receitas'!H15)</f>
        <v>0</v>
      </c>
      <c r="J16" s="290">
        <f>('Quadro de Receitas'!I15)</f>
        <v>0</v>
      </c>
      <c r="K16" s="290">
        <f>('Quadro de Receitas'!J15)</f>
        <v>0</v>
      </c>
    </row>
    <row r="17" spans="1:11" ht="12.75">
      <c r="A17" s="459" t="s">
        <v>187</v>
      </c>
      <c r="B17" s="460"/>
      <c r="C17" s="460"/>
      <c r="D17" s="460"/>
      <c r="E17" s="461"/>
      <c r="F17" s="290">
        <f>+'Quadro de Receitas'!E16</f>
        <v>10346</v>
      </c>
      <c r="G17" s="290">
        <f>('Quadro de Receitas'!F16)</f>
        <v>348454.07</v>
      </c>
      <c r="H17" s="290">
        <f>('Quadro de Receitas'!G16)</f>
        <v>20000</v>
      </c>
      <c r="I17" s="290">
        <f>('Quadro de Receitas'!H16)</f>
        <v>21814</v>
      </c>
      <c r="J17" s="290">
        <f>('Quadro de Receitas'!I16)</f>
        <v>23231.91</v>
      </c>
      <c r="K17" s="290">
        <f>('Quadro de Receitas'!J16)</f>
        <v>24741.98415</v>
      </c>
    </row>
    <row r="18" spans="1:11" ht="12.75">
      <c r="A18" s="459" t="s">
        <v>276</v>
      </c>
      <c r="B18" s="460"/>
      <c r="C18" s="460"/>
      <c r="D18" s="460"/>
      <c r="E18" s="461"/>
      <c r="F18" s="290">
        <f>+'Quadro de Receitas'!E17</f>
        <v>18698867.09</v>
      </c>
      <c r="G18" s="290">
        <f>('Quadro de Receitas'!F17)</f>
        <v>20142405.95</v>
      </c>
      <c r="H18" s="290">
        <f>('Quadro de Receitas'!G17)</f>
        <v>26319422</v>
      </c>
      <c r="I18" s="290">
        <f>('Quadro de Receitas'!H17)</f>
        <v>28706593.5754</v>
      </c>
      <c r="J18" s="290">
        <f>('Quadro de Receitas'!I17)</f>
        <v>30572522.157801</v>
      </c>
      <c r="K18" s="290">
        <f>('Quadro de Receitas'!J17)</f>
        <v>32559736.098058064</v>
      </c>
    </row>
    <row r="19" spans="1:11" ht="12.75">
      <c r="A19" s="459" t="s">
        <v>189</v>
      </c>
      <c r="B19" s="460"/>
      <c r="C19" s="460"/>
      <c r="D19" s="460"/>
      <c r="E19" s="461"/>
      <c r="F19" s="323">
        <f>'Quadro de Receitas'!E18</f>
        <v>41755.92</v>
      </c>
      <c r="G19" s="323">
        <f>'Quadro de Receitas'!F18</f>
        <v>43983.97</v>
      </c>
      <c r="H19" s="323">
        <f>'Quadro de Receitas'!G18</f>
        <v>181100</v>
      </c>
      <c r="I19" s="323">
        <f>'Quadro de Receitas'!H18</f>
        <v>197525.77</v>
      </c>
      <c r="J19" s="323">
        <f>'Quadro de Receitas'!I18</f>
        <v>210364.94504999998</v>
      </c>
      <c r="K19" s="323">
        <f>'Quadro de Receitas'!J18</f>
        <v>224038.66647824997</v>
      </c>
    </row>
    <row r="20" spans="1:11" ht="12.75">
      <c r="A20" s="459" t="s">
        <v>322</v>
      </c>
      <c r="B20" s="460"/>
      <c r="C20" s="460"/>
      <c r="D20" s="460"/>
      <c r="E20" s="461"/>
      <c r="F20" s="290">
        <f aca="true" t="shared" si="1" ref="F20:K20">SUM(F9-F13)</f>
        <v>19753242.12</v>
      </c>
      <c r="G20" s="290">
        <f>SUM(G9-G13)</f>
        <v>21628452.72</v>
      </c>
      <c r="H20" s="290">
        <f>SUM(H9-H13)</f>
        <v>27826222</v>
      </c>
      <c r="I20" s="290">
        <f t="shared" si="1"/>
        <v>30219583.493709996</v>
      </c>
      <c r="J20" s="290">
        <f t="shared" si="1"/>
        <v>32304373.9286385</v>
      </c>
      <c r="K20" s="290">
        <f t="shared" si="1"/>
        <v>34404158.234</v>
      </c>
    </row>
    <row r="21" spans="1:11" ht="12.75">
      <c r="A21" s="459" t="s">
        <v>323</v>
      </c>
      <c r="B21" s="460"/>
      <c r="C21" s="460"/>
      <c r="D21" s="460"/>
      <c r="E21" s="461"/>
      <c r="F21" s="290">
        <f>('Quadro de Receitas'!E22)</f>
        <v>1248615.49</v>
      </c>
      <c r="G21" s="290">
        <f>('Quadro de Receitas'!F22)</f>
        <v>1740732.81</v>
      </c>
      <c r="H21" s="290">
        <f>('Quadro de Receitas'!G22)</f>
        <v>1895000</v>
      </c>
      <c r="I21" s="290">
        <f>('Quadro de Receitas'!H22)</f>
        <v>2066876.5</v>
      </c>
      <c r="J21" s="290">
        <f>('Quadro de Receitas'!I22)</f>
        <v>2201223.4725</v>
      </c>
      <c r="K21" s="290">
        <f>('Quadro de Receitas'!J22)</f>
        <v>2344302.9982125</v>
      </c>
    </row>
    <row r="22" spans="1:11" ht="12.75">
      <c r="A22" s="459" t="s">
        <v>324</v>
      </c>
      <c r="B22" s="460"/>
      <c r="C22" s="460"/>
      <c r="D22" s="460"/>
      <c r="E22" s="461"/>
      <c r="F22" s="290">
        <f>('Quadro de Receitas'!E23)</f>
        <v>0</v>
      </c>
      <c r="G22" s="290">
        <f>('Quadro de Receitas'!F23)</f>
        <v>0</v>
      </c>
      <c r="H22" s="290">
        <f>('Quadro de Receitas'!G23)</f>
        <v>50000</v>
      </c>
      <c r="I22" s="290">
        <f>('Quadro de Receitas'!H23)</f>
        <v>54535</v>
      </c>
      <c r="J22" s="290">
        <f>('Quadro de Receitas'!I23)</f>
        <v>58079.774999999994</v>
      </c>
      <c r="K22" s="290">
        <f>('Quadro de Receitas'!J23)</f>
        <v>61854.96037499999</v>
      </c>
    </row>
    <row r="23" spans="1:11" ht="12.75">
      <c r="A23" s="459" t="s">
        <v>325</v>
      </c>
      <c r="B23" s="460"/>
      <c r="C23" s="460"/>
      <c r="D23" s="460"/>
      <c r="E23" s="461"/>
      <c r="F23" s="290">
        <f>('Quadro de Receitas'!E24)</f>
        <v>0</v>
      </c>
      <c r="G23" s="290">
        <f>('Quadro de Receitas'!F24)</f>
        <v>0</v>
      </c>
      <c r="H23" s="290">
        <f>('Quadro de Receitas'!G24)</f>
        <v>30000</v>
      </c>
      <c r="I23" s="290">
        <f>('Quadro de Receitas'!H24)</f>
        <v>32721</v>
      </c>
      <c r="J23" s="290">
        <f>('Quadro de Receitas'!I24)</f>
        <v>34847.865</v>
      </c>
      <c r="K23" s="290">
        <f>('Quadro de Receitas'!J24)</f>
        <v>37112.976225</v>
      </c>
    </row>
    <row r="24" spans="1:11" ht="12.75">
      <c r="A24" s="459" t="s">
        <v>326</v>
      </c>
      <c r="B24" s="460"/>
      <c r="C24" s="460"/>
      <c r="D24" s="460"/>
      <c r="E24" s="461"/>
      <c r="F24" s="290">
        <f>('Quadro de Receitas'!E25)</f>
        <v>0</v>
      </c>
      <c r="G24" s="290">
        <f>('Quadro de Receitas'!F25)</f>
        <v>0</v>
      </c>
      <c r="H24" s="290">
        <f>('Quadro de Receitas'!G25)</f>
        <v>0</v>
      </c>
      <c r="I24" s="290">
        <f>('Quadro de Receitas'!H25)</f>
        <v>0</v>
      </c>
      <c r="J24" s="290">
        <f>('Quadro de Receitas'!I25)</f>
        <v>0</v>
      </c>
      <c r="K24" s="290">
        <f>('Quadro de Receitas'!J25)</f>
        <v>0</v>
      </c>
    </row>
    <row r="25" spans="1:11" ht="12.75">
      <c r="A25" s="459" t="s">
        <v>280</v>
      </c>
      <c r="B25" s="460"/>
      <c r="C25" s="460"/>
      <c r="D25" s="460"/>
      <c r="E25" s="461"/>
      <c r="F25" s="290">
        <f>('Quadro de Receitas'!E26)</f>
        <v>1248615.49</v>
      </c>
      <c r="G25" s="290">
        <f>('Quadro de Receitas'!F26)</f>
        <v>1740732.81</v>
      </c>
      <c r="H25" s="290">
        <f>('Quadro de Receitas'!G26)</f>
        <v>1815000</v>
      </c>
      <c r="I25" s="290">
        <f>('Quadro de Receitas'!H26)</f>
        <v>1979620.5</v>
      </c>
      <c r="J25" s="290">
        <f>('Quadro de Receitas'!I26)</f>
        <v>2108295.8325</v>
      </c>
      <c r="K25" s="290">
        <f>('Quadro de Receitas'!J26)</f>
        <v>2245335.0616125</v>
      </c>
    </row>
    <row r="26" spans="1:11" ht="12.75">
      <c r="A26" s="459" t="s">
        <v>195</v>
      </c>
      <c r="B26" s="460"/>
      <c r="C26" s="460"/>
      <c r="D26" s="460"/>
      <c r="E26" s="461"/>
      <c r="F26" s="290">
        <f>+'Quadro de Receitas'!E27</f>
        <v>0</v>
      </c>
      <c r="G26" s="290">
        <f>('Quadro de Receitas'!F27)</f>
        <v>0</v>
      </c>
      <c r="H26" s="290">
        <f>('Quadro de Receitas'!G27)</f>
        <v>0</v>
      </c>
      <c r="I26" s="290">
        <f>('Quadro de Receitas'!H27)</f>
        <v>0</v>
      </c>
      <c r="J26" s="290">
        <f>('Quadro de Receitas'!I27)</f>
        <v>0</v>
      </c>
      <c r="K26" s="290">
        <f>('Quadro de Receitas'!J27)</f>
        <v>0</v>
      </c>
    </row>
    <row r="27" spans="1:11" ht="12.75">
      <c r="A27" s="459" t="s">
        <v>327</v>
      </c>
      <c r="B27" s="460"/>
      <c r="C27" s="460"/>
      <c r="D27" s="460"/>
      <c r="E27" s="461"/>
      <c r="F27" s="290">
        <f aca="true" t="shared" si="2" ref="F27:K27">SUM(F21-F22-F23-F24)</f>
        <v>1248615.49</v>
      </c>
      <c r="G27" s="290">
        <f t="shared" si="2"/>
        <v>1740732.81</v>
      </c>
      <c r="H27" s="290">
        <f>SUM(H21-H22-H23-H24)</f>
        <v>1815000</v>
      </c>
      <c r="I27" s="290">
        <f t="shared" si="2"/>
        <v>1979620.5</v>
      </c>
      <c r="J27" s="290">
        <f t="shared" si="2"/>
        <v>2108295.8325</v>
      </c>
      <c r="K27" s="290">
        <f t="shared" si="2"/>
        <v>2245335.0616125003</v>
      </c>
    </row>
    <row r="28" spans="1:11" ht="12.75">
      <c r="A28" s="459" t="s">
        <v>328</v>
      </c>
      <c r="B28" s="460"/>
      <c r="C28" s="460"/>
      <c r="D28" s="460"/>
      <c r="E28" s="461"/>
      <c r="F28" s="290">
        <f>+'Quadro de Receitas'!E20</f>
        <v>0</v>
      </c>
      <c r="G28" s="290">
        <f>+'Quadro de Receitas'!F20</f>
        <v>0</v>
      </c>
      <c r="H28" s="290">
        <f>+'Quadro de Receitas'!G20</f>
        <v>0</v>
      </c>
      <c r="I28" s="290">
        <f>+'Quadro de Receitas'!H20</f>
        <v>0</v>
      </c>
      <c r="J28" s="290">
        <f>+'Quadro de Receitas'!I20</f>
        <v>0</v>
      </c>
      <c r="K28" s="290">
        <f>+'Quadro de Receitas'!J20</f>
        <v>0</v>
      </c>
    </row>
    <row r="29" spans="1:11" ht="12.75">
      <c r="A29" s="459" t="s">
        <v>263</v>
      </c>
      <c r="B29" s="460"/>
      <c r="C29" s="460"/>
      <c r="D29" s="460"/>
      <c r="E29" s="461"/>
      <c r="F29" s="290">
        <f>+'Quadro de Receitas'!E21</f>
        <v>0</v>
      </c>
      <c r="G29" s="290">
        <f>+'Quadro de Receitas'!F21</f>
        <v>0</v>
      </c>
      <c r="H29" s="290">
        <f>+'Quadro de Receitas'!G21</f>
        <v>0</v>
      </c>
      <c r="I29" s="290">
        <f>+'Quadro de Receitas'!H21</f>
        <v>0</v>
      </c>
      <c r="J29" s="290">
        <f>+'Quadro de Receitas'!I21</f>
        <v>0</v>
      </c>
      <c r="K29" s="290">
        <f>+'Quadro de Receitas'!J21</f>
        <v>0</v>
      </c>
    </row>
    <row r="30" spans="1:11" ht="12.75">
      <c r="A30" s="453" t="s">
        <v>329</v>
      </c>
      <c r="B30" s="368"/>
      <c r="C30" s="368"/>
      <c r="D30" s="368"/>
      <c r="E30" s="454"/>
      <c r="F30" s="458">
        <f>SUM(F20+F27)</f>
        <v>21001857.61</v>
      </c>
      <c r="G30" s="458">
        <f>SUM(G20+G27)</f>
        <v>23369185.529999997</v>
      </c>
      <c r="H30" s="458">
        <f>SUM(H20+H27+H28+H29)</f>
        <v>29641222</v>
      </c>
      <c r="I30" s="458">
        <f>SUM(I20+I27+I28+I29)</f>
        <v>32199203.993709996</v>
      </c>
      <c r="J30" s="458">
        <f>SUM(J20+J27+J28+J29)</f>
        <v>34412669.7611385</v>
      </c>
      <c r="K30" s="458">
        <f>SUM(K20+K27+K28+K29)</f>
        <v>36649493.2956125</v>
      </c>
    </row>
    <row r="31" spans="1:11" ht="12.75">
      <c r="A31" s="446" t="s">
        <v>330</v>
      </c>
      <c r="B31" s="447"/>
      <c r="C31" s="447"/>
      <c r="D31" s="447"/>
      <c r="E31" s="448"/>
      <c r="F31" s="458"/>
      <c r="G31" s="458"/>
      <c r="H31" s="458"/>
      <c r="I31" s="458"/>
      <c r="J31" s="458"/>
      <c r="K31" s="458"/>
    </row>
    <row r="32" spans="1:11" ht="12.75">
      <c r="A32" s="449" t="s">
        <v>331</v>
      </c>
      <c r="B32" s="449"/>
      <c r="C32" s="449"/>
      <c r="D32" s="449"/>
      <c r="E32" s="449"/>
      <c r="F32" s="293">
        <f>('Quadro de Receitas'!E28)</f>
        <v>21251670.669999998</v>
      </c>
      <c r="G32" s="293">
        <f>('Quadro de Receitas'!F28)</f>
        <v>23665663.439999998</v>
      </c>
      <c r="H32" s="293">
        <f>('Quadro de Receitas'!G28)</f>
        <v>30126222</v>
      </c>
      <c r="I32" s="293">
        <f>('Quadro de Receitas'!H28)</f>
        <v>32858670.335399996</v>
      </c>
      <c r="J32" s="293">
        <f>('Quadro de Receitas'!I28)</f>
        <v>34994483.907201</v>
      </c>
      <c r="K32" s="293">
        <f>('Quadro de Receitas'!J28)</f>
        <v>37269125.36116906</v>
      </c>
    </row>
    <row r="33" spans="1:11" ht="12.75">
      <c r="A33" s="455" t="s">
        <v>332</v>
      </c>
      <c r="B33" s="456"/>
      <c r="C33" s="456"/>
      <c r="D33" s="456"/>
      <c r="E33" s="457"/>
      <c r="F33" s="291">
        <f>('Quadro de Despesa'!E10)</f>
        <v>18645255.63</v>
      </c>
      <c r="G33" s="291">
        <f>('Quadro de Despesa'!F10)</f>
        <v>19911569.07</v>
      </c>
      <c r="H33" s="291">
        <f>('Quadro de Despesa'!G10)</f>
        <v>24367022</v>
      </c>
      <c r="I33" s="291">
        <f>('Quadro de Despesa'!H10)</f>
        <v>26577110.8954</v>
      </c>
      <c r="J33" s="291">
        <f>('Quadro de Despesa'!I10)</f>
        <v>28304623.103600994</v>
      </c>
      <c r="K33" s="291">
        <f>('Quadro de Despesa'!J10)</f>
        <v>30144423.60533506</v>
      </c>
    </row>
    <row r="34" spans="1:11" ht="12.75">
      <c r="A34" s="450" t="s">
        <v>300</v>
      </c>
      <c r="B34" s="451"/>
      <c r="C34" s="451"/>
      <c r="D34" s="451"/>
      <c r="E34" s="452"/>
      <c r="F34" s="290">
        <f>('Quadro de Despesa'!E11)</f>
        <v>12787713.12</v>
      </c>
      <c r="G34" s="290">
        <f>+'Quadro de Despesa'!F11</f>
        <v>13347470.23</v>
      </c>
      <c r="H34" s="290">
        <f>('Quadro de Despesa'!G11)</f>
        <v>15591902</v>
      </c>
      <c r="I34" s="290">
        <f>('Quadro de Despesa'!H11)</f>
        <v>17006087.5114</v>
      </c>
      <c r="J34" s="290">
        <f>('Quadro de Despesa'!I11)</f>
        <v>18111483.199640997</v>
      </c>
      <c r="K34" s="290">
        <f>('Quadro de Despesa'!J11)</f>
        <v>19288729.60761766</v>
      </c>
    </row>
    <row r="35" spans="1:11" ht="12.75">
      <c r="A35" s="450" t="s">
        <v>333</v>
      </c>
      <c r="B35" s="451"/>
      <c r="C35" s="451"/>
      <c r="D35" s="451"/>
      <c r="E35" s="452"/>
      <c r="F35" s="290">
        <f>('Quadro de Despesa'!E13)</f>
        <v>21693.02</v>
      </c>
      <c r="G35" s="290">
        <f>+'Quadro de Despesa'!F13</f>
        <v>35900.91</v>
      </c>
      <c r="H35" s="290">
        <f>('Quadro de Despesa'!G13)</f>
        <v>46000</v>
      </c>
      <c r="I35" s="290">
        <f>('Quadro de Despesa'!H13)</f>
        <v>50172.2</v>
      </c>
      <c r="J35" s="290">
        <f>('Quadro de Despesa'!I13)</f>
        <v>53433.393</v>
      </c>
      <c r="K35" s="290">
        <f>('Quadro de Despesa'!J13)</f>
        <v>56906.56354499999</v>
      </c>
    </row>
    <row r="36" spans="1:11" ht="12.75">
      <c r="A36" s="450" t="s">
        <v>305</v>
      </c>
      <c r="B36" s="451"/>
      <c r="C36" s="451"/>
      <c r="D36" s="451"/>
      <c r="E36" s="452"/>
      <c r="F36" s="290">
        <f>('Quadro de Despesa'!E14)</f>
        <v>5835849.49</v>
      </c>
      <c r="G36" s="290">
        <f>+'Quadro de Despesa'!F14</f>
        <v>6528197.93</v>
      </c>
      <c r="H36" s="290">
        <f>('Quadro de Despesa'!G14)</f>
        <v>8729120</v>
      </c>
      <c r="I36" s="290">
        <f>('Quadro de Despesa'!H14)</f>
        <v>9520851.184</v>
      </c>
      <c r="J36" s="290">
        <f>('Quadro de Despesa'!I14)</f>
        <v>10139706.51096</v>
      </c>
      <c r="K36" s="290">
        <f>('Quadro de Despesa'!J14)</f>
        <v>10798787.4341724</v>
      </c>
    </row>
    <row r="37" spans="1:11" ht="12.75">
      <c r="A37" s="450" t="s">
        <v>334</v>
      </c>
      <c r="B37" s="451"/>
      <c r="C37" s="451"/>
      <c r="D37" s="451"/>
      <c r="E37" s="452"/>
      <c r="F37" s="290">
        <f aca="true" t="shared" si="3" ref="F37:K37">SUM(F33-F35)</f>
        <v>18623562.61</v>
      </c>
      <c r="G37" s="290">
        <f t="shared" si="3"/>
        <v>19875668.16</v>
      </c>
      <c r="H37" s="290">
        <f t="shared" si="3"/>
        <v>24321022</v>
      </c>
      <c r="I37" s="290">
        <f t="shared" si="3"/>
        <v>26526938.6954</v>
      </c>
      <c r="J37" s="290">
        <f t="shared" si="3"/>
        <v>28251189.710600995</v>
      </c>
      <c r="K37" s="290">
        <f t="shared" si="3"/>
        <v>30087517.04179006</v>
      </c>
    </row>
    <row r="38" spans="1:11" ht="12.75">
      <c r="A38" s="450" t="s">
        <v>335</v>
      </c>
      <c r="B38" s="451"/>
      <c r="C38" s="451"/>
      <c r="D38" s="451"/>
      <c r="E38" s="452"/>
      <c r="F38" s="290">
        <f>('Quadro de Despesa'!E15)</f>
        <v>1797977.79</v>
      </c>
      <c r="G38" s="290">
        <f>SUM(G39:G42)</f>
        <v>3023399.9699999997</v>
      </c>
      <c r="H38" s="290">
        <f>('Quadro de Despesa'!G15)</f>
        <v>5659200</v>
      </c>
      <c r="I38" s="290">
        <f>('Quadro de Despesa'!H15)</f>
        <v>6172489.44</v>
      </c>
      <c r="J38" s="290">
        <f>('Quadro de Despesa'!I15)</f>
        <v>6573701.2535999995</v>
      </c>
      <c r="K38" s="290">
        <f>('Quadro de Despesa'!J15)</f>
        <v>7000991.835083999</v>
      </c>
    </row>
    <row r="39" spans="1:11" ht="12.75">
      <c r="A39" s="450" t="s">
        <v>306</v>
      </c>
      <c r="B39" s="451"/>
      <c r="C39" s="451"/>
      <c r="D39" s="451"/>
      <c r="E39" s="452"/>
      <c r="F39" s="290">
        <f>('Quadro de Despesa'!E16)</f>
        <v>1051109.45</v>
      </c>
      <c r="G39" s="290">
        <f>+'Quadro de Despesa'!F16</f>
        <v>2331025.71</v>
      </c>
      <c r="H39" s="290">
        <f>('Quadro de Despesa'!G16)</f>
        <v>4793200</v>
      </c>
      <c r="I39" s="290">
        <f>('Quadro de Despesa'!H16)</f>
        <v>5227943.24</v>
      </c>
      <c r="J39" s="290">
        <f>('Quadro de Despesa'!I16)</f>
        <v>5567759.5506</v>
      </c>
      <c r="K39" s="290">
        <f>('Quadro de Despesa'!J16)</f>
        <v>5929663.921389</v>
      </c>
    </row>
    <row r="40" spans="1:11" ht="12.75">
      <c r="A40" s="450" t="s">
        <v>309</v>
      </c>
      <c r="B40" s="451"/>
      <c r="C40" s="451"/>
      <c r="D40" s="451"/>
      <c r="E40" s="452"/>
      <c r="F40" s="290">
        <f>('Quadro de Despesa'!E17)</f>
        <v>0</v>
      </c>
      <c r="G40" s="290">
        <f>+'Quadro de Despesa'!F17</f>
        <v>0</v>
      </c>
      <c r="H40" s="290">
        <f>('Quadro de Despesa'!G17)</f>
        <v>59000</v>
      </c>
      <c r="I40" s="290">
        <f>('Quadro de Despesa'!H17)</f>
        <v>64351.3</v>
      </c>
      <c r="J40" s="290">
        <f>('Quadro de Despesa'!I17)</f>
        <v>68534.1345</v>
      </c>
      <c r="K40" s="290">
        <f>('Quadro de Despesa'!J17)</f>
        <v>72988.8532425</v>
      </c>
    </row>
    <row r="41" spans="1:11" ht="12.75">
      <c r="A41" s="450" t="s">
        <v>280</v>
      </c>
      <c r="B41" s="451"/>
      <c r="C41" s="451"/>
      <c r="D41" s="451"/>
      <c r="E41" s="452"/>
      <c r="F41" s="290">
        <f>('Quadro de Despesa'!E18)</f>
        <v>0</v>
      </c>
      <c r="G41" s="290">
        <f>+'Quadro de Despesa'!F18</f>
        <v>0</v>
      </c>
      <c r="H41" s="290">
        <f>('Quadro de Despesa'!G18)</f>
        <v>0</v>
      </c>
      <c r="I41" s="290">
        <f>('Quadro de Despesa'!H18)</f>
        <v>0</v>
      </c>
      <c r="J41" s="290">
        <f>('Quadro de Despesa'!I18)</f>
        <v>0</v>
      </c>
      <c r="K41" s="290">
        <f>('Quadro de Despesa'!J18)</f>
        <v>0</v>
      </c>
    </row>
    <row r="42" spans="1:11" ht="12.75">
      <c r="A42" s="450" t="s">
        <v>336</v>
      </c>
      <c r="B42" s="451"/>
      <c r="C42" s="451"/>
      <c r="D42" s="451"/>
      <c r="E42" s="452"/>
      <c r="F42" s="290">
        <f>('Quadro de Despesa'!E19)</f>
        <v>746868.34</v>
      </c>
      <c r="G42" s="290">
        <f>+'Quadro de Despesa'!F19</f>
        <v>692374.26</v>
      </c>
      <c r="H42" s="290">
        <f>('Quadro de Despesa'!G19)</f>
        <v>807000</v>
      </c>
      <c r="I42" s="290">
        <f>('Quadro de Despesa'!H19)</f>
        <v>880194.9</v>
      </c>
      <c r="J42" s="290">
        <f>('Quadro de Despesa'!I19)</f>
        <v>937407.5684999999</v>
      </c>
      <c r="K42" s="290">
        <f>('Quadro de Despesa'!J19)</f>
        <v>998339.0604524999</v>
      </c>
    </row>
    <row r="43" spans="1:11" ht="12.75">
      <c r="A43" s="450" t="s">
        <v>337</v>
      </c>
      <c r="B43" s="451"/>
      <c r="C43" s="451"/>
      <c r="D43" s="451"/>
      <c r="E43" s="452"/>
      <c r="F43" s="290">
        <f aca="true" t="shared" si="4" ref="F43:K43">SUM(F38-F42)</f>
        <v>1051109.4500000002</v>
      </c>
      <c r="G43" s="290">
        <f t="shared" si="4"/>
        <v>2331025.71</v>
      </c>
      <c r="H43" s="290">
        <f t="shared" si="4"/>
        <v>4852200</v>
      </c>
      <c r="I43" s="290">
        <f t="shared" si="4"/>
        <v>5292294.54</v>
      </c>
      <c r="J43" s="290">
        <f t="shared" si="4"/>
        <v>5636293.685099999</v>
      </c>
      <c r="K43" s="290">
        <f t="shared" si="4"/>
        <v>6002652.774631498</v>
      </c>
    </row>
    <row r="44" spans="1:11" ht="12.75">
      <c r="A44" s="450" t="s">
        <v>338</v>
      </c>
      <c r="B44" s="451"/>
      <c r="C44" s="451"/>
      <c r="D44" s="451"/>
      <c r="E44" s="452"/>
      <c r="F44" s="290">
        <f>('Quadro de Despesa'!E21)</f>
        <v>0</v>
      </c>
      <c r="G44" s="290">
        <f>+'Quadro de Despesa'!F20</f>
        <v>0</v>
      </c>
      <c r="H44" s="290">
        <f>+'Quadro de Despesa'!G20</f>
        <v>100000</v>
      </c>
      <c r="I44" s="290">
        <f>+'Quadro de Despesa'!H20+('Quadro de Despesa'!H21)</f>
        <v>109070</v>
      </c>
      <c r="J44" s="290">
        <f>+'Quadro de Despesa'!I20+('Quadro de Despesa'!I21)</f>
        <v>116159.54999999999</v>
      </c>
      <c r="K44" s="290">
        <f>+'Quadro de Despesa'!J20+('Quadro de Despesa'!J21)</f>
        <v>123709.92074999998</v>
      </c>
    </row>
    <row r="45" spans="1:11" ht="12.75">
      <c r="A45" s="453" t="s">
        <v>339</v>
      </c>
      <c r="B45" s="368"/>
      <c r="C45" s="368"/>
      <c r="D45" s="368"/>
      <c r="E45" s="454"/>
      <c r="F45" s="445">
        <f aca="true" t="shared" si="5" ref="F45:K45">SUM(F37+F43+F44)</f>
        <v>19674672.06</v>
      </c>
      <c r="G45" s="445">
        <f t="shared" si="5"/>
        <v>22206693.87</v>
      </c>
      <c r="H45" s="445">
        <f t="shared" si="5"/>
        <v>29273222</v>
      </c>
      <c r="I45" s="445">
        <f t="shared" si="5"/>
        <v>31928303.2354</v>
      </c>
      <c r="J45" s="445">
        <f t="shared" si="5"/>
        <v>34003642.94570099</v>
      </c>
      <c r="K45" s="445">
        <f t="shared" si="5"/>
        <v>36213879.73717156</v>
      </c>
    </row>
    <row r="46" spans="1:11" ht="12.75">
      <c r="A46" s="446" t="s">
        <v>340</v>
      </c>
      <c r="B46" s="447"/>
      <c r="C46" s="447"/>
      <c r="D46" s="447"/>
      <c r="E46" s="448"/>
      <c r="F46" s="445"/>
      <c r="G46" s="445"/>
      <c r="H46" s="445"/>
      <c r="I46" s="445"/>
      <c r="J46" s="445"/>
      <c r="K46" s="445"/>
    </row>
    <row r="47" spans="1:11" ht="12.75">
      <c r="A47" s="449" t="s">
        <v>341</v>
      </c>
      <c r="B47" s="449"/>
      <c r="C47" s="449"/>
      <c r="D47" s="449"/>
      <c r="E47" s="449"/>
      <c r="F47" s="292">
        <f>('Quadro de Despesa'!E22)</f>
        <v>20443233.419999998</v>
      </c>
      <c r="G47" s="292">
        <f>+G33+G38+G44</f>
        <v>22934969.04</v>
      </c>
      <c r="H47" s="292">
        <f>('Quadro de Despesa'!G22)</f>
        <v>30126222</v>
      </c>
      <c r="I47" s="292">
        <f>('Quadro de Despesa'!H22)</f>
        <v>32858670.3354</v>
      </c>
      <c r="J47" s="292">
        <f>('Quadro de Despesa'!I22)</f>
        <v>34994483.90720099</v>
      </c>
      <c r="K47" s="292">
        <f>('Quadro de Despesa'!J22)</f>
        <v>37269125.361169055</v>
      </c>
    </row>
    <row r="48" spans="1:11" ht="12.75">
      <c r="A48" s="247"/>
      <c r="B48" s="247"/>
      <c r="C48" s="247"/>
      <c r="D48" s="247"/>
      <c r="E48" s="247"/>
      <c r="F48" s="294"/>
      <c r="G48" s="294"/>
      <c r="H48" s="294"/>
      <c r="I48" s="294"/>
      <c r="J48" s="294"/>
      <c r="K48" s="294"/>
    </row>
    <row r="49" spans="1:11" ht="12.75">
      <c r="A49" s="449" t="s">
        <v>342</v>
      </c>
      <c r="B49" s="449"/>
      <c r="C49" s="449"/>
      <c r="D49" s="449"/>
      <c r="E49" s="449"/>
      <c r="F49" s="295">
        <f aca="true" t="shared" si="6" ref="F49:K49">SUM(F30-F45)</f>
        <v>1327185.5500000007</v>
      </c>
      <c r="G49" s="295">
        <f t="shared" si="6"/>
        <v>1162491.6599999964</v>
      </c>
      <c r="H49" s="295">
        <f t="shared" si="6"/>
        <v>368000</v>
      </c>
      <c r="I49" s="295">
        <f>SUM(I30-I45)</f>
        <v>270900.7583099976</v>
      </c>
      <c r="J49" s="295">
        <f t="shared" si="6"/>
        <v>409026.8154375106</v>
      </c>
      <c r="K49" s="295">
        <f t="shared" si="6"/>
        <v>435613.5584409386</v>
      </c>
    </row>
    <row r="50" spans="1:11" ht="12.75">
      <c r="A50" s="247"/>
      <c r="B50" s="247"/>
      <c r="C50" s="247"/>
      <c r="D50" s="247"/>
      <c r="E50" s="247"/>
      <c r="F50" s="247"/>
      <c r="G50" s="247"/>
      <c r="H50" s="247"/>
      <c r="I50" s="247"/>
      <c r="J50" s="247"/>
      <c r="K50" s="247"/>
    </row>
    <row r="51" spans="1:11" ht="12.75">
      <c r="A51" s="349" t="str">
        <f>+'Quadro de Receitas'!A30:E30</f>
        <v>Acari-RN,  19 de junho de 2017.</v>
      </c>
      <c r="B51" s="349"/>
      <c r="C51" s="349"/>
      <c r="D51" s="349"/>
      <c r="E51" s="349"/>
      <c r="F51" s="247"/>
      <c r="G51" s="247"/>
      <c r="H51" s="247"/>
      <c r="I51" s="247"/>
      <c r="J51" s="247"/>
      <c r="K51" s="247"/>
    </row>
    <row r="52" spans="1:11" ht="12.75">
      <c r="A52" s="247"/>
      <c r="B52" s="247"/>
      <c r="C52" s="247"/>
      <c r="D52" s="247"/>
      <c r="E52" s="247"/>
      <c r="F52" s="247"/>
      <c r="G52" s="247"/>
      <c r="H52" s="247"/>
      <c r="I52" s="247"/>
      <c r="J52" s="247"/>
      <c r="K52" s="247"/>
    </row>
    <row r="53" spans="1:10" ht="12.75">
      <c r="A53" s="444" t="str">
        <f>'Quadro de Despesa'!A28:D28</f>
        <v>ISAIAS DE MEDEIROS CABRAL</v>
      </c>
      <c r="B53" s="444"/>
      <c r="C53" s="444"/>
      <c r="D53" s="444"/>
      <c r="E53" s="296"/>
      <c r="F53" s="296"/>
      <c r="G53" s="296"/>
      <c r="H53" s="444" t="str">
        <f>'Quadro de Despesa'!H28</f>
        <v>PAULO ROBERTO LEITE BULHOES</v>
      </c>
      <c r="I53" s="444"/>
      <c r="J53" s="444"/>
    </row>
    <row r="54" spans="1:10" ht="12.75">
      <c r="A54" s="366" t="s">
        <v>298</v>
      </c>
      <c r="B54" s="366"/>
      <c r="C54" s="366"/>
      <c r="D54" s="366"/>
      <c r="E54" s="248"/>
      <c r="F54" s="248"/>
      <c r="G54" s="248"/>
      <c r="H54" s="250"/>
      <c r="I54" s="248" t="str">
        <f>+'Quadro de Receitas'!I34</f>
        <v>Secretário Municipal de Administração</v>
      </c>
      <c r="J54" s="250"/>
    </row>
  </sheetData>
  <sheetProtection/>
  <mergeCells count="63">
    <mergeCell ref="B2:G2"/>
    <mergeCell ref="B1:F1"/>
    <mergeCell ref="B3:F3"/>
    <mergeCell ref="B4:H4"/>
    <mergeCell ref="B5:F5"/>
    <mergeCell ref="B6:F6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F30:F31"/>
    <mergeCell ref="G30:G31"/>
    <mergeCell ref="H30:H31"/>
    <mergeCell ref="I30:I31"/>
    <mergeCell ref="J30:J31"/>
    <mergeCell ref="K30:K31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F45:F46"/>
    <mergeCell ref="G45:G46"/>
    <mergeCell ref="H45:H46"/>
    <mergeCell ref="I45:I46"/>
    <mergeCell ref="A53:D53"/>
    <mergeCell ref="A54:D54"/>
    <mergeCell ref="J45:J46"/>
    <mergeCell ref="K45:K46"/>
    <mergeCell ref="A46:E46"/>
    <mergeCell ref="A47:E47"/>
    <mergeCell ref="A49:E49"/>
    <mergeCell ref="A51:E51"/>
    <mergeCell ref="H53:J5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5"/>
  <sheetViews>
    <sheetView zoomScalePageLayoutView="0" workbookViewId="0" topLeftCell="A1">
      <selection activeCell="A30" sqref="A30:E30"/>
    </sheetView>
  </sheetViews>
  <sheetFormatPr defaultColWidth="9.140625" defaultRowHeight="12.75"/>
  <cols>
    <col min="5" max="5" width="12.8515625" style="0" bestFit="1" customWidth="1"/>
    <col min="6" max="8" width="12.8515625" style="0" customWidth="1"/>
    <col min="9" max="9" width="13.8515625" style="0" customWidth="1"/>
    <col min="10" max="10" width="12.8515625" style="0" bestFit="1" customWidth="1"/>
    <col min="13" max="13" width="13.57421875" style="0" bestFit="1" customWidth="1"/>
  </cols>
  <sheetData>
    <row r="1" spans="2:8" ht="12.75">
      <c r="B1" s="349" t="s">
        <v>141</v>
      </c>
      <c r="C1" s="349"/>
      <c r="D1" s="349"/>
      <c r="E1" s="349"/>
      <c r="F1" s="349"/>
      <c r="G1" s="77"/>
      <c r="H1" s="77"/>
    </row>
    <row r="2" spans="2:8" ht="15.75">
      <c r="B2" s="348" t="s">
        <v>166</v>
      </c>
      <c r="C2" s="348"/>
      <c r="D2" s="348"/>
      <c r="E2" s="348"/>
      <c r="F2" s="348"/>
      <c r="G2" s="348"/>
      <c r="H2" s="77"/>
    </row>
    <row r="3" spans="2:8" ht="12.75">
      <c r="B3" s="365" t="s">
        <v>142</v>
      </c>
      <c r="C3" s="365"/>
      <c r="D3" s="365"/>
      <c r="E3" s="365"/>
      <c r="F3" s="365"/>
      <c r="G3" s="77"/>
      <c r="H3" s="77"/>
    </row>
    <row r="4" spans="2:8" ht="12.75">
      <c r="B4" s="365" t="s">
        <v>246</v>
      </c>
      <c r="C4" s="365"/>
      <c r="D4" s="365"/>
      <c r="E4" s="365"/>
      <c r="F4" s="365"/>
      <c r="G4" s="365"/>
      <c r="H4" s="365"/>
    </row>
    <row r="5" spans="2:8" ht="12.75">
      <c r="B5" s="365" t="s">
        <v>343</v>
      </c>
      <c r="C5" s="365"/>
      <c r="D5" s="365"/>
      <c r="E5" s="365"/>
      <c r="F5" s="365"/>
      <c r="G5" s="77"/>
      <c r="H5" s="77"/>
    </row>
    <row r="6" spans="2:8" ht="12.75">
      <c r="B6" s="365" t="s">
        <v>248</v>
      </c>
      <c r="C6" s="365"/>
      <c r="D6" s="365"/>
      <c r="E6" s="365"/>
      <c r="F6" s="365"/>
      <c r="G6" s="77"/>
      <c r="H6" s="77"/>
    </row>
    <row r="7" spans="1:10" ht="12.75">
      <c r="A7" s="176"/>
      <c r="B7" s="176"/>
      <c r="C7" s="176"/>
      <c r="D7" s="176"/>
      <c r="E7" s="252"/>
      <c r="F7" s="252"/>
      <c r="G7" s="252"/>
      <c r="H7" s="252"/>
      <c r="I7" s="252"/>
      <c r="J7" s="252"/>
    </row>
    <row r="8" spans="1:10" ht="12.75">
      <c r="A8" s="466" t="s">
        <v>344</v>
      </c>
      <c r="B8" s="467"/>
      <c r="C8" s="467"/>
      <c r="D8" s="467"/>
      <c r="E8" s="297">
        <v>2015</v>
      </c>
      <c r="F8" s="297">
        <v>2016</v>
      </c>
      <c r="G8" s="298">
        <v>2017</v>
      </c>
      <c r="H8" s="298">
        <v>2018</v>
      </c>
      <c r="I8" s="298">
        <v>2019</v>
      </c>
      <c r="J8" s="298">
        <v>2020</v>
      </c>
    </row>
    <row r="9" spans="1:10" ht="12.75">
      <c r="A9" s="468"/>
      <c r="B9" s="469"/>
      <c r="C9" s="469"/>
      <c r="D9" s="469"/>
      <c r="E9" s="299" t="s">
        <v>345</v>
      </c>
      <c r="F9" s="299" t="s">
        <v>346</v>
      </c>
      <c r="G9" s="299" t="s">
        <v>347</v>
      </c>
      <c r="H9" s="299" t="s">
        <v>348</v>
      </c>
      <c r="I9" s="299" t="s">
        <v>349</v>
      </c>
      <c r="J9" s="299" t="s">
        <v>350</v>
      </c>
    </row>
    <row r="10" spans="1:10" ht="12.75">
      <c r="A10" s="455" t="s">
        <v>351</v>
      </c>
      <c r="B10" s="456"/>
      <c r="C10" s="456"/>
      <c r="D10" s="456"/>
      <c r="E10" s="300">
        <v>5417270.82</v>
      </c>
      <c r="F10" s="300">
        <v>4474617.92</v>
      </c>
      <c r="G10" s="301">
        <f>'Montante da Dívida'!G9</f>
        <v>4139021.576</v>
      </c>
      <c r="H10" s="301">
        <f>+'Montante da Dívida'!H9</f>
        <v>4408057.97844</v>
      </c>
      <c r="I10" s="301">
        <f>+'Montante da Dívida'!I9</f>
        <v>5034002.211378479</v>
      </c>
      <c r="J10" s="301">
        <f>+'Montante da Dívida'!J9</f>
        <v>5537402.432516328</v>
      </c>
    </row>
    <row r="11" spans="1:14" ht="12.75">
      <c r="A11" s="450" t="s">
        <v>352</v>
      </c>
      <c r="B11" s="451"/>
      <c r="C11" s="451"/>
      <c r="D11" s="451"/>
      <c r="E11" s="302">
        <f>+E12-E14</f>
        <v>1958350.75</v>
      </c>
      <c r="F11" s="302">
        <f>+F12-F14</f>
        <v>2563606.34</v>
      </c>
      <c r="G11" s="240">
        <f>SUM(G12+G13-G14)</f>
        <v>2730240.7520999997</v>
      </c>
      <c r="H11" s="240">
        <f>SUM(H12+H13-H14)</f>
        <v>2977873.5883154697</v>
      </c>
      <c r="I11" s="240">
        <f>SUM(I12+I13-I14)</f>
        <v>3264915.0854653795</v>
      </c>
      <c r="J11" s="240">
        <f>SUM(J12+J13-J14)</f>
        <v>3601633.0723789427</v>
      </c>
      <c r="M11" s="46"/>
      <c r="N11" s="46"/>
    </row>
    <row r="12" spans="1:14" ht="12.75">
      <c r="A12" s="450" t="s">
        <v>353</v>
      </c>
      <c r="B12" s="451"/>
      <c r="C12" s="451"/>
      <c r="D12" s="451"/>
      <c r="E12" s="302">
        <v>2616977.32</v>
      </c>
      <c r="F12" s="302">
        <v>2783867.05</v>
      </c>
      <c r="G12" s="240">
        <f>F12*1.065</f>
        <v>2964818.40825</v>
      </c>
      <c r="H12" s="240">
        <f>G12*1.0907</f>
        <v>3233727.437878275</v>
      </c>
      <c r="I12" s="240">
        <f>H12*1.1</f>
        <v>3557100.1816661027</v>
      </c>
      <c r="J12" s="240">
        <f>I12*1.1</f>
        <v>3912810.199832713</v>
      </c>
      <c r="M12" s="46"/>
      <c r="N12" s="46"/>
    </row>
    <row r="13" spans="1:14" ht="12.75">
      <c r="A13" s="450" t="s">
        <v>354</v>
      </c>
      <c r="B13" s="451"/>
      <c r="C13" s="451"/>
      <c r="D13" s="451"/>
      <c r="E13" s="302">
        <v>0</v>
      </c>
      <c r="F13" s="302">
        <v>0</v>
      </c>
      <c r="G13" s="240">
        <v>0</v>
      </c>
      <c r="H13" s="240">
        <f>G13*1.0907</f>
        <v>0</v>
      </c>
      <c r="I13" s="240">
        <v>0</v>
      </c>
      <c r="J13" s="240">
        <v>0</v>
      </c>
      <c r="M13" s="46"/>
      <c r="N13" s="46"/>
    </row>
    <row r="14" spans="1:14" ht="12.75">
      <c r="A14" s="450" t="s">
        <v>355</v>
      </c>
      <c r="B14" s="451"/>
      <c r="C14" s="451"/>
      <c r="D14" s="451"/>
      <c r="E14" s="302">
        <v>658626.57</v>
      </c>
      <c r="F14" s="302">
        <v>220260.71</v>
      </c>
      <c r="G14" s="240">
        <f>F14*1.065</f>
        <v>234577.65614999997</v>
      </c>
      <c r="H14" s="240">
        <f>G14*1.0907</f>
        <v>255853.84956280497</v>
      </c>
      <c r="I14" s="240">
        <f>H14*1.142</f>
        <v>292185.09620072326</v>
      </c>
      <c r="J14" s="240">
        <f>I14*1.065</f>
        <v>311177.12745377026</v>
      </c>
      <c r="M14" s="46"/>
      <c r="N14" s="46"/>
    </row>
    <row r="15" spans="1:14" ht="12.75">
      <c r="A15" s="450" t="s">
        <v>356</v>
      </c>
      <c r="B15" s="451"/>
      <c r="C15" s="451"/>
      <c r="D15" s="451"/>
      <c r="E15" s="302">
        <f>+E10-E11</f>
        <v>3458920.0700000003</v>
      </c>
      <c r="F15" s="302">
        <f>+F10-F11</f>
        <v>1911011.58</v>
      </c>
      <c r="G15" s="240">
        <f>G10-G11</f>
        <v>1408780.8239000002</v>
      </c>
      <c r="H15" s="240">
        <f>H10-H11</f>
        <v>1430184.39012453</v>
      </c>
      <c r="I15" s="240">
        <f>I10-I11</f>
        <v>1769087.1259130999</v>
      </c>
      <c r="J15" s="240">
        <f>J10-J11</f>
        <v>1935769.3601373853</v>
      </c>
      <c r="M15" s="46"/>
      <c r="N15" s="46"/>
    </row>
    <row r="16" spans="1:14" ht="12.75">
      <c r="A16" s="450" t="s">
        <v>357</v>
      </c>
      <c r="B16" s="451"/>
      <c r="C16" s="451"/>
      <c r="D16" s="451"/>
      <c r="E16" s="302">
        <v>0</v>
      </c>
      <c r="F16" s="302">
        <v>0</v>
      </c>
      <c r="G16" s="240">
        <v>0</v>
      </c>
      <c r="H16" s="240">
        <f>G16*1.0907</f>
        <v>0</v>
      </c>
      <c r="I16" s="240">
        <v>0</v>
      </c>
      <c r="J16" s="240">
        <v>0</v>
      </c>
      <c r="M16" s="46"/>
      <c r="N16" s="46"/>
    </row>
    <row r="17" spans="1:14" ht="12.75">
      <c r="A17" s="450" t="s">
        <v>358</v>
      </c>
      <c r="B17" s="451"/>
      <c r="C17" s="451"/>
      <c r="D17" s="451"/>
      <c r="E17" s="303">
        <v>5230435.26</v>
      </c>
      <c r="F17" s="303">
        <v>4355506.64</v>
      </c>
      <c r="G17" s="240">
        <f>+F17*1.09140326869422</f>
        <v>4753614.18371538</v>
      </c>
      <c r="H17" s="240">
        <f>G17*1.0907</f>
        <v>5184766.990178364</v>
      </c>
      <c r="I17" s="240">
        <f>+H17*1.065</f>
        <v>5521776.844539958</v>
      </c>
      <c r="J17" s="240">
        <f>+I17*1.065</f>
        <v>5880692.339435055</v>
      </c>
      <c r="M17" s="46"/>
      <c r="N17" s="46"/>
    </row>
    <row r="18" spans="1:14" ht="12.75">
      <c r="A18" s="470" t="s">
        <v>391</v>
      </c>
      <c r="B18" s="471"/>
      <c r="C18" s="471"/>
      <c r="D18" s="471"/>
      <c r="E18" s="304">
        <f>+E15+E16-E17</f>
        <v>-1771515.1899999995</v>
      </c>
      <c r="F18" s="243">
        <f>F15+F16-F17</f>
        <v>-2444495.0599999996</v>
      </c>
      <c r="G18" s="243">
        <f>G15+G16-G17</f>
        <v>-3344833.3598153796</v>
      </c>
      <c r="H18" s="243">
        <f>H15+H16-H17</f>
        <v>-3754582.6000538343</v>
      </c>
      <c r="I18" s="243">
        <f>I15+I16-I17</f>
        <v>-3752689.718626858</v>
      </c>
      <c r="J18" s="243">
        <f>J15+J16-J17</f>
        <v>-3944922.9792976696</v>
      </c>
      <c r="M18" s="46"/>
      <c r="N18" s="46"/>
    </row>
    <row r="19" spans="1:10" ht="12.75">
      <c r="A19" s="176"/>
      <c r="B19" s="176"/>
      <c r="C19" s="176"/>
      <c r="D19" s="176"/>
      <c r="E19" s="305"/>
      <c r="F19" s="305"/>
      <c r="G19" s="305"/>
      <c r="H19" s="305"/>
      <c r="I19" s="305"/>
      <c r="J19" s="305"/>
    </row>
    <row r="20" spans="1:10" ht="12.75">
      <c r="A20" s="350" t="s">
        <v>6</v>
      </c>
      <c r="B20" s="350"/>
      <c r="C20" s="350"/>
      <c r="D20" s="350"/>
      <c r="E20" s="306" t="s">
        <v>359</v>
      </c>
      <c r="F20" s="306" t="s">
        <v>360</v>
      </c>
      <c r="G20" s="306" t="s">
        <v>361</v>
      </c>
      <c r="H20" s="306" t="s">
        <v>362</v>
      </c>
      <c r="I20" s="306" t="s">
        <v>363</v>
      </c>
      <c r="J20" s="306" t="s">
        <v>364</v>
      </c>
    </row>
    <row r="21" spans="1:10" ht="12.75">
      <c r="A21" s="350"/>
      <c r="B21" s="350"/>
      <c r="C21" s="350"/>
      <c r="D21" s="350"/>
      <c r="E21" s="307">
        <f>E18</f>
        <v>-1771515.1899999995</v>
      </c>
      <c r="F21" s="307">
        <f>F18-E18</f>
        <v>-672979.8700000001</v>
      </c>
      <c r="G21" s="307">
        <f>G18-F18</f>
        <v>-900338.29981538</v>
      </c>
      <c r="H21" s="307">
        <f>H18-G18</f>
        <v>-409749.24023845466</v>
      </c>
      <c r="I21" s="307">
        <f>I18-H18</f>
        <v>1892.8814269760624</v>
      </c>
      <c r="J21" s="307">
        <f>J18-I18</f>
        <v>-192233.2606708114</v>
      </c>
    </row>
    <row r="22" spans="1:10" ht="12.75">
      <c r="A22" s="176"/>
      <c r="B22" s="176"/>
      <c r="C22" s="176"/>
      <c r="D22" s="176"/>
      <c r="E22" s="176"/>
      <c r="F22" s="176"/>
      <c r="G22" s="176"/>
      <c r="H22" s="176"/>
      <c r="I22" s="176"/>
      <c r="J22" s="176"/>
    </row>
    <row r="23" spans="1:10" ht="12.75">
      <c r="A23" s="256" t="s">
        <v>365</v>
      </c>
      <c r="B23" s="176"/>
      <c r="C23" s="176"/>
      <c r="D23" s="176"/>
      <c r="E23" s="176"/>
      <c r="F23" s="176"/>
      <c r="G23" s="176"/>
      <c r="H23" s="176"/>
      <c r="I23" s="176"/>
      <c r="J23" s="176"/>
    </row>
    <row r="24" spans="1:10" ht="12.75">
      <c r="A24" s="176"/>
      <c r="B24" s="176"/>
      <c r="C24" s="176"/>
      <c r="D24" s="176"/>
      <c r="E24" s="176"/>
      <c r="F24" s="176"/>
      <c r="G24" s="176"/>
      <c r="H24" s="176"/>
      <c r="I24" s="176"/>
      <c r="J24" s="176"/>
    </row>
    <row r="25" spans="1:10" ht="12.75">
      <c r="A25" s="237" t="s">
        <v>366</v>
      </c>
      <c r="B25" s="237"/>
      <c r="C25" s="237"/>
      <c r="D25" s="237"/>
      <c r="E25" s="237"/>
      <c r="F25" s="237"/>
      <c r="G25" s="237"/>
      <c r="H25" s="237"/>
      <c r="I25" s="237"/>
      <c r="J25" s="176"/>
    </row>
    <row r="26" spans="1:10" ht="12.75">
      <c r="A26" s="349" t="s">
        <v>367</v>
      </c>
      <c r="B26" s="349"/>
      <c r="C26" s="349"/>
      <c r="D26" s="349"/>
      <c r="E26" s="349"/>
      <c r="F26" s="349"/>
      <c r="G26" s="349"/>
      <c r="H26" s="349"/>
      <c r="I26" s="176"/>
      <c r="J26" s="176"/>
    </row>
    <row r="27" spans="1:10" ht="12.75">
      <c r="A27" s="365" t="s">
        <v>368</v>
      </c>
      <c r="B27" s="349"/>
      <c r="C27" s="349"/>
      <c r="D27" s="349"/>
      <c r="E27" s="349"/>
      <c r="F27" s="349"/>
      <c r="G27" s="349"/>
      <c r="H27" s="349"/>
      <c r="I27" s="349"/>
      <c r="J27" s="176"/>
    </row>
    <row r="28" spans="1:10" ht="12.75">
      <c r="A28" s="176" t="s">
        <v>369</v>
      </c>
      <c r="B28" s="176"/>
      <c r="C28" s="176"/>
      <c r="D28" s="176"/>
      <c r="E28" s="176"/>
      <c r="F28" s="176"/>
      <c r="G28" s="176"/>
      <c r="H28" s="176"/>
      <c r="I28" s="176"/>
      <c r="J28" s="176"/>
    </row>
    <row r="29" spans="1:10" ht="12.75">
      <c r="A29" s="176"/>
      <c r="B29" s="176"/>
      <c r="C29" s="176"/>
      <c r="D29" s="176"/>
      <c r="E29" s="176"/>
      <c r="F29" s="176"/>
      <c r="G29" s="176"/>
      <c r="H29" s="176"/>
      <c r="I29" s="176"/>
      <c r="J29" s="176"/>
    </row>
    <row r="30" spans="1:10" ht="12.75">
      <c r="A30" s="349" t="str">
        <f>+'Quadro de Receitas'!A30:E30</f>
        <v>Acari-RN,  19 de junho de 2017.</v>
      </c>
      <c r="B30" s="349"/>
      <c r="C30" s="349"/>
      <c r="D30" s="349"/>
      <c r="E30" s="349"/>
      <c r="F30" s="176"/>
      <c r="G30" s="176"/>
      <c r="H30" s="176"/>
      <c r="I30" s="176"/>
      <c r="J30" s="176"/>
    </row>
    <row r="31" spans="1:10" ht="12.75">
      <c r="A31" s="176"/>
      <c r="B31" s="176"/>
      <c r="C31" s="176"/>
      <c r="D31" s="176"/>
      <c r="E31" s="176"/>
      <c r="F31" s="176"/>
      <c r="G31" s="176"/>
      <c r="H31" s="176"/>
      <c r="I31" s="176"/>
      <c r="J31" s="176"/>
    </row>
    <row r="32" spans="1:10" ht="12.75">
      <c r="A32" s="176"/>
      <c r="B32" s="176"/>
      <c r="C32" s="176"/>
      <c r="D32" s="176"/>
      <c r="E32" s="176"/>
      <c r="F32" s="176"/>
      <c r="G32" s="176"/>
      <c r="H32" s="176"/>
      <c r="I32" s="176"/>
      <c r="J32" s="176"/>
    </row>
    <row r="33" spans="1:10" ht="12.75">
      <c r="A33" s="176"/>
      <c r="B33" s="176"/>
      <c r="C33" s="176"/>
      <c r="D33" s="176"/>
      <c r="E33" s="176"/>
      <c r="F33" s="176"/>
      <c r="G33" s="176"/>
      <c r="H33" s="176"/>
      <c r="I33" s="176"/>
      <c r="J33" s="176"/>
    </row>
    <row r="34" spans="1:10" ht="15.75">
      <c r="A34" s="444" t="str">
        <f>'Quadro de Receitas'!A33:D33</f>
        <v>ISAIAS DE MEDEIROS CABRAL</v>
      </c>
      <c r="B34" s="444"/>
      <c r="C34" s="444"/>
      <c r="D34" s="444"/>
      <c r="E34" s="296"/>
      <c r="F34" s="249"/>
      <c r="G34" s="296"/>
      <c r="H34" s="296" t="str">
        <f>'Quadro de Receitas'!H33:J33</f>
        <v>PAULO ROBERTO LEITE BULHOES</v>
      </c>
      <c r="I34" s="249"/>
      <c r="J34" s="248"/>
    </row>
    <row r="35" spans="1:10" ht="12.75">
      <c r="A35" s="366" t="s">
        <v>298</v>
      </c>
      <c r="B35" s="366"/>
      <c r="C35" s="366"/>
      <c r="D35" s="366"/>
      <c r="E35" s="248"/>
      <c r="F35" s="158"/>
      <c r="H35" s="248" t="str">
        <f>+'Quadro de Receitas'!I34</f>
        <v>Secretário Municipal de Administração</v>
      </c>
      <c r="J35" s="250"/>
    </row>
  </sheetData>
  <sheetProtection/>
  <mergeCells count="22">
    <mergeCell ref="A27:I27"/>
    <mergeCell ref="A30:E30"/>
    <mergeCell ref="A34:D34"/>
    <mergeCell ref="A35:D35"/>
    <mergeCell ref="A15:D15"/>
    <mergeCell ref="A16:D16"/>
    <mergeCell ref="A17:D17"/>
    <mergeCell ref="A18:D18"/>
    <mergeCell ref="A20:D21"/>
    <mergeCell ref="A26:H26"/>
    <mergeCell ref="A8:D9"/>
    <mergeCell ref="A10:D10"/>
    <mergeCell ref="A11:D11"/>
    <mergeCell ref="A12:D12"/>
    <mergeCell ref="A13:D13"/>
    <mergeCell ref="A14:D14"/>
    <mergeCell ref="B2:G2"/>
    <mergeCell ref="B1:F1"/>
    <mergeCell ref="B3:F3"/>
    <mergeCell ref="B4:H4"/>
    <mergeCell ref="B5:F5"/>
    <mergeCell ref="B6:F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J28"/>
  <sheetViews>
    <sheetView zoomScalePageLayoutView="0" workbookViewId="0" topLeftCell="A1">
      <selection activeCell="A30" sqref="A30:E30"/>
    </sheetView>
  </sheetViews>
  <sheetFormatPr defaultColWidth="9.140625" defaultRowHeight="12.75"/>
  <cols>
    <col min="5" max="5" width="12.421875" style="0" customWidth="1"/>
    <col min="6" max="6" width="11.7109375" style="0" bestFit="1" customWidth="1"/>
    <col min="7" max="8" width="12.28125" style="0" bestFit="1" customWidth="1"/>
    <col min="9" max="9" width="14.7109375" style="0" customWidth="1"/>
    <col min="10" max="10" width="12.28125" style="0" bestFit="1" customWidth="1"/>
  </cols>
  <sheetData>
    <row r="1" spans="2:6" ht="15.75">
      <c r="B1" s="348" t="s">
        <v>166</v>
      </c>
      <c r="C1" s="348"/>
      <c r="D1" s="348"/>
      <c r="E1" s="348"/>
      <c r="F1" s="348"/>
    </row>
    <row r="2" spans="2:6" ht="12.75">
      <c r="B2" s="349" t="s">
        <v>141</v>
      </c>
      <c r="C2" s="349"/>
      <c r="D2" s="349"/>
      <c r="E2" s="349"/>
      <c r="F2" s="349"/>
    </row>
    <row r="3" spans="2:6" ht="12.75">
      <c r="B3" s="365" t="s">
        <v>142</v>
      </c>
      <c r="C3" s="365"/>
      <c r="D3" s="365"/>
      <c r="E3" s="365"/>
      <c r="F3" s="365"/>
    </row>
    <row r="4" spans="2:8" ht="12.75">
      <c r="B4" s="349" t="s">
        <v>246</v>
      </c>
      <c r="C4" s="349"/>
      <c r="D4" s="349"/>
      <c r="E4" s="349"/>
      <c r="F4" s="349"/>
      <c r="G4" s="349"/>
      <c r="H4" s="349"/>
    </row>
    <row r="5" spans="2:6" ht="12.75">
      <c r="B5" s="349" t="s">
        <v>370</v>
      </c>
      <c r="C5" s="349"/>
      <c r="D5" s="349"/>
      <c r="E5" s="349"/>
      <c r="F5" s="349"/>
    </row>
    <row r="6" spans="2:6" ht="12.75">
      <c r="B6" s="349" t="s">
        <v>248</v>
      </c>
      <c r="C6" s="349"/>
      <c r="D6" s="349"/>
      <c r="E6" s="349"/>
      <c r="F6" s="349"/>
    </row>
    <row r="7" spans="1:10" ht="12.75">
      <c r="A7" s="176"/>
      <c r="B7" s="176"/>
      <c r="C7" s="176"/>
      <c r="D7" s="176"/>
      <c r="E7" s="176"/>
      <c r="F7" s="176"/>
      <c r="G7" s="176"/>
      <c r="H7" s="176"/>
      <c r="I7" s="176"/>
      <c r="J7" s="308" t="s">
        <v>371</v>
      </c>
    </row>
    <row r="8" spans="1:10" ht="12.75">
      <c r="A8" s="472" t="s">
        <v>93</v>
      </c>
      <c r="B8" s="473"/>
      <c r="C8" s="473"/>
      <c r="D8" s="474"/>
      <c r="E8" s="322">
        <v>2015</v>
      </c>
      <c r="F8" s="322">
        <v>2016</v>
      </c>
      <c r="G8" s="161">
        <v>2017</v>
      </c>
      <c r="H8" s="161">
        <v>2018</v>
      </c>
      <c r="I8" s="161">
        <v>2019</v>
      </c>
      <c r="J8" s="161">
        <v>2020</v>
      </c>
    </row>
    <row r="9" spans="1:10" ht="12.75">
      <c r="A9" s="353" t="s">
        <v>351</v>
      </c>
      <c r="B9" s="354"/>
      <c r="C9" s="354"/>
      <c r="D9" s="417"/>
      <c r="E9" s="273">
        <f aca="true" t="shared" si="0" ref="E9:J9">SUM(E10:E11)</f>
        <v>5417270.82</v>
      </c>
      <c r="F9" s="309">
        <f t="shared" si="0"/>
        <v>4474617.92</v>
      </c>
      <c r="G9" s="309">
        <f t="shared" si="0"/>
        <v>4139021.576</v>
      </c>
      <c r="H9" s="310">
        <f t="shared" si="0"/>
        <v>4408057.97844</v>
      </c>
      <c r="I9" s="310">
        <f t="shared" si="0"/>
        <v>5034002.211378479</v>
      </c>
      <c r="J9" s="310">
        <f t="shared" si="0"/>
        <v>5537402.432516328</v>
      </c>
    </row>
    <row r="10" spans="1:10" ht="12.75">
      <c r="A10" s="355" t="s">
        <v>372</v>
      </c>
      <c r="B10" s="356"/>
      <c r="C10" s="356"/>
      <c r="D10" s="418"/>
      <c r="E10" s="311">
        <v>0</v>
      </c>
      <c r="F10" s="311">
        <v>0</v>
      </c>
      <c r="G10" s="311">
        <v>0</v>
      </c>
      <c r="H10" s="312">
        <v>0</v>
      </c>
      <c r="I10" s="312">
        <v>0</v>
      </c>
      <c r="J10" s="312">
        <v>0</v>
      </c>
    </row>
    <row r="11" spans="1:10" ht="12.75">
      <c r="A11" s="355" t="s">
        <v>373</v>
      </c>
      <c r="B11" s="356"/>
      <c r="C11" s="356"/>
      <c r="D11" s="418"/>
      <c r="E11" s="276">
        <f>+'Resultado Nominal'!E10</f>
        <v>5417270.82</v>
      </c>
      <c r="F11" s="311">
        <f>+'Resultado Nominal'!F10</f>
        <v>4474617.92</v>
      </c>
      <c r="G11" s="311">
        <f>F11-(F11*0.075)</f>
        <v>4139021.576</v>
      </c>
      <c r="H11" s="312">
        <f>G11*1.065</f>
        <v>4408057.97844</v>
      </c>
      <c r="I11" s="312">
        <f>H11+(H11*0.142)</f>
        <v>5034002.211378479</v>
      </c>
      <c r="J11" s="312">
        <f>I11*1.1</f>
        <v>5537402.432516328</v>
      </c>
    </row>
    <row r="12" spans="1:10" ht="12.75">
      <c r="A12" s="355" t="s">
        <v>352</v>
      </c>
      <c r="B12" s="356"/>
      <c r="C12" s="356"/>
      <c r="D12" s="418"/>
      <c r="E12" s="311">
        <f aca="true" t="shared" si="1" ref="E12:J12">E13+E14-E15</f>
        <v>1958350.75</v>
      </c>
      <c r="F12" s="311">
        <f t="shared" si="1"/>
        <v>2563606.34</v>
      </c>
      <c r="G12" s="311">
        <f t="shared" si="1"/>
        <v>2730240.7520999997</v>
      </c>
      <c r="H12" s="312">
        <f t="shared" si="1"/>
        <v>2977873.5883154697</v>
      </c>
      <c r="I12" s="312">
        <f t="shared" si="1"/>
        <v>3264915.0854653795</v>
      </c>
      <c r="J12" s="312">
        <f t="shared" si="1"/>
        <v>3601633.0723789427</v>
      </c>
    </row>
    <row r="13" spans="1:10" ht="12.75">
      <c r="A13" s="355" t="s">
        <v>353</v>
      </c>
      <c r="B13" s="356"/>
      <c r="C13" s="356"/>
      <c r="D13" s="418"/>
      <c r="E13" s="276">
        <f>+'Resultado Nominal'!E12</f>
        <v>2616977.32</v>
      </c>
      <c r="F13" s="311">
        <f>+'Resultado Nominal'!F12</f>
        <v>2783867.05</v>
      </c>
      <c r="G13" s="311">
        <f>+'Resultado Nominal'!G12</f>
        <v>2964818.40825</v>
      </c>
      <c r="H13" s="312">
        <f>+'Resultado Nominal'!H12</f>
        <v>3233727.437878275</v>
      </c>
      <c r="I13" s="312">
        <f>+'Resultado Nominal'!I12</f>
        <v>3557100.1816661027</v>
      </c>
      <c r="J13" s="312">
        <f>+'Resultado Nominal'!J12</f>
        <v>3912810.199832713</v>
      </c>
    </row>
    <row r="14" spans="1:10" ht="12.75">
      <c r="A14" s="355" t="s">
        <v>354</v>
      </c>
      <c r="B14" s="356"/>
      <c r="C14" s="356"/>
      <c r="D14" s="418"/>
      <c r="E14" s="311">
        <f>'Resultado Nominal'!E13</f>
        <v>0</v>
      </c>
      <c r="F14" s="311">
        <f>'Resultado Nominal'!F13</f>
        <v>0</v>
      </c>
      <c r="G14" s="311">
        <f>'Resultado Nominal'!G13</f>
        <v>0</v>
      </c>
      <c r="H14" s="311">
        <f>'Resultado Nominal'!H13</f>
        <v>0</v>
      </c>
      <c r="I14" s="311">
        <f>'Resultado Nominal'!I13</f>
        <v>0</v>
      </c>
      <c r="J14" s="311">
        <f>'Resultado Nominal'!J13</f>
        <v>0</v>
      </c>
    </row>
    <row r="15" spans="1:10" ht="12.75">
      <c r="A15" s="475" t="s">
        <v>374</v>
      </c>
      <c r="B15" s="476"/>
      <c r="C15" s="476"/>
      <c r="D15" s="477"/>
      <c r="E15" s="313">
        <f>+'Resultado Nominal'!E14</f>
        <v>658626.57</v>
      </c>
      <c r="F15" s="314">
        <f>+'Resultado Nominal'!F14</f>
        <v>220260.71</v>
      </c>
      <c r="G15" s="314">
        <f>+'Resultado Nominal'!G14</f>
        <v>234577.65614999997</v>
      </c>
      <c r="H15" s="315">
        <f>+'Resultado Nominal'!H14</f>
        <v>255853.84956280497</v>
      </c>
      <c r="I15" s="315">
        <f>+'Resultado Nominal'!I14</f>
        <v>292185.09620072326</v>
      </c>
      <c r="J15" s="315">
        <f>+'Resultado Nominal'!J14</f>
        <v>311177.12745377026</v>
      </c>
    </row>
    <row r="16" spans="1:10" ht="12.75">
      <c r="A16" s="355"/>
      <c r="B16" s="356"/>
      <c r="C16" s="356"/>
      <c r="D16" s="356"/>
      <c r="E16" s="316"/>
      <c r="F16" s="317"/>
      <c r="G16" s="317"/>
      <c r="H16" s="318"/>
      <c r="I16" s="318"/>
      <c r="J16" s="319"/>
    </row>
    <row r="17" spans="1:10" ht="12.75">
      <c r="A17" s="472" t="s">
        <v>36</v>
      </c>
      <c r="B17" s="478"/>
      <c r="C17" s="478"/>
      <c r="D17" s="479"/>
      <c r="E17" s="320">
        <f aca="true" t="shared" si="2" ref="E17:J17">E9-E12</f>
        <v>3458920.0700000003</v>
      </c>
      <c r="F17" s="320">
        <f t="shared" si="2"/>
        <v>1911011.58</v>
      </c>
      <c r="G17" s="320">
        <f t="shared" si="2"/>
        <v>1408780.8239000002</v>
      </c>
      <c r="H17" s="320">
        <f t="shared" si="2"/>
        <v>1430184.39012453</v>
      </c>
      <c r="I17" s="320">
        <f t="shared" si="2"/>
        <v>1769087.1259130999</v>
      </c>
      <c r="J17" s="320">
        <f t="shared" si="2"/>
        <v>1935769.3601373853</v>
      </c>
    </row>
    <row r="18" spans="1:10" ht="12.75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ht="12.75">
      <c r="A19" s="176" t="s">
        <v>365</v>
      </c>
      <c r="B19" s="176"/>
      <c r="C19" s="176"/>
      <c r="D19" s="176"/>
      <c r="E19" s="176"/>
      <c r="F19" s="176"/>
      <c r="G19" s="176"/>
      <c r="H19" s="176"/>
      <c r="I19" s="176"/>
      <c r="J19" s="176"/>
    </row>
    <row r="20" spans="1:10" ht="12.75">
      <c r="A20" s="176"/>
      <c r="B20" s="176"/>
      <c r="C20" s="176"/>
      <c r="D20" s="176"/>
      <c r="E20" s="176"/>
      <c r="F20" s="176"/>
      <c r="G20" s="176"/>
      <c r="H20" s="176"/>
      <c r="I20" s="176"/>
      <c r="J20" s="176"/>
    </row>
    <row r="21" spans="1:10" ht="12.75">
      <c r="A21" s="176"/>
      <c r="B21" s="176"/>
      <c r="C21" s="176"/>
      <c r="D21" s="176"/>
      <c r="E21" s="176"/>
      <c r="F21" s="176"/>
      <c r="G21" s="176"/>
      <c r="H21" s="176"/>
      <c r="I21" s="176"/>
      <c r="J21" s="176"/>
    </row>
    <row r="22" spans="1:10" ht="12.75">
      <c r="A22" s="176"/>
      <c r="B22" s="176"/>
      <c r="C22" s="176"/>
      <c r="D22" s="176"/>
      <c r="E22" s="176"/>
      <c r="F22" s="176"/>
      <c r="G22" s="176"/>
      <c r="H22" s="176"/>
      <c r="I22" s="176"/>
      <c r="J22" s="176"/>
    </row>
    <row r="23" spans="1:10" ht="12.75">
      <c r="A23" s="349" t="str">
        <f>+'Quadro de Receitas'!A30:E30</f>
        <v>Acari-RN,  19 de junho de 2017.</v>
      </c>
      <c r="B23" s="349"/>
      <c r="C23" s="349"/>
      <c r="D23" s="349"/>
      <c r="E23" s="349"/>
      <c r="F23" s="176"/>
      <c r="G23" s="176"/>
      <c r="H23" s="176"/>
      <c r="I23" s="176"/>
      <c r="J23" s="176"/>
    </row>
    <row r="24" spans="1:10" ht="12.75">
      <c r="A24" s="176"/>
      <c r="B24" s="176"/>
      <c r="C24" s="176"/>
      <c r="D24" s="176"/>
      <c r="E24" s="176"/>
      <c r="F24" s="176"/>
      <c r="G24" s="176"/>
      <c r="H24" s="176"/>
      <c r="I24" s="176"/>
      <c r="J24" s="176"/>
    </row>
    <row r="25" spans="1:10" ht="12.75">
      <c r="A25" s="176"/>
      <c r="B25" s="176"/>
      <c r="C25" s="176"/>
      <c r="D25" s="176"/>
      <c r="E25" s="176"/>
      <c r="F25" s="176"/>
      <c r="G25" s="176"/>
      <c r="H25" s="176"/>
      <c r="I25" s="176"/>
      <c r="J25" s="176"/>
    </row>
    <row r="26" spans="1:10" ht="10.5" customHeight="1">
      <c r="A26" s="176"/>
      <c r="B26" s="257"/>
      <c r="C26" s="176"/>
      <c r="D26" s="176"/>
      <c r="E26" s="176"/>
      <c r="F26" s="176"/>
      <c r="G26" s="176"/>
      <c r="H26" s="176"/>
      <c r="I26" s="176"/>
      <c r="J26" s="176"/>
    </row>
    <row r="27" spans="1:10" ht="15.75">
      <c r="A27" s="444" t="str">
        <f>'Resultado Nominal'!A34:D34</f>
        <v>ISAIAS DE MEDEIROS CABRAL</v>
      </c>
      <c r="B27" s="444"/>
      <c r="C27" s="444"/>
      <c r="D27" s="444"/>
      <c r="E27" s="444"/>
      <c r="F27" s="296"/>
      <c r="G27" s="249"/>
      <c r="H27" s="296" t="str">
        <f>'Resultado Nominal'!H34</f>
        <v>PAULO ROBERTO LEITE BULHOES</v>
      </c>
      <c r="I27" s="249"/>
      <c r="J27" s="248"/>
    </row>
    <row r="28" spans="1:10" ht="12.75">
      <c r="A28" s="366" t="s">
        <v>298</v>
      </c>
      <c r="B28" s="366"/>
      <c r="C28" s="366"/>
      <c r="D28" s="366"/>
      <c r="E28" s="366"/>
      <c r="F28" s="248"/>
      <c r="G28" s="158"/>
      <c r="H28" s="248" t="str">
        <f>+'Quadro de Receitas'!I34</f>
        <v>Secretário Municipal de Administração</v>
      </c>
      <c r="J28" s="250"/>
    </row>
  </sheetData>
  <sheetProtection/>
  <mergeCells count="19">
    <mergeCell ref="A28:E28"/>
    <mergeCell ref="A14:D14"/>
    <mergeCell ref="A15:D15"/>
    <mergeCell ref="A16:D16"/>
    <mergeCell ref="A17:D17"/>
    <mergeCell ref="A23:E23"/>
    <mergeCell ref="A27:E27"/>
    <mergeCell ref="A8:D8"/>
    <mergeCell ref="A9:D9"/>
    <mergeCell ref="A10:D10"/>
    <mergeCell ref="A11:D11"/>
    <mergeCell ref="A12:D12"/>
    <mergeCell ref="A13:D13"/>
    <mergeCell ref="B1:F1"/>
    <mergeCell ref="B2:F2"/>
    <mergeCell ref="B3:F3"/>
    <mergeCell ref="B4:H4"/>
    <mergeCell ref="B5:F5"/>
    <mergeCell ref="B6:F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showGridLines="0" zoomScalePageLayoutView="0" workbookViewId="0" topLeftCell="A1">
      <selection activeCell="A30" sqref="A30:E30"/>
    </sheetView>
  </sheetViews>
  <sheetFormatPr defaultColWidth="9.140625" defaultRowHeight="12.75"/>
  <cols>
    <col min="1" max="1" width="21.00390625" style="38" bestFit="1" customWidth="1"/>
    <col min="2" max="2" width="11.421875" style="38" customWidth="1"/>
    <col min="3" max="3" width="9.421875" style="38" bestFit="1" customWidth="1"/>
    <col min="4" max="5" width="10.57421875" style="38" customWidth="1"/>
    <col min="6" max="6" width="9.421875" style="38" customWidth="1"/>
    <col min="7" max="7" width="10.00390625" style="38" bestFit="1" customWidth="1"/>
    <col min="8" max="9" width="9.421875" style="38" bestFit="1" customWidth="1"/>
    <col min="10" max="10" width="10.00390625" style="38" bestFit="1" customWidth="1"/>
    <col min="11" max="16384" width="9.140625" style="38" customWidth="1"/>
  </cols>
  <sheetData>
    <row r="1" spans="1:10" ht="11.25">
      <c r="A1" s="504" t="s">
        <v>5</v>
      </c>
      <c r="B1" s="505"/>
      <c r="C1" s="505"/>
      <c r="D1" s="505"/>
      <c r="E1" s="505"/>
      <c r="F1" s="505"/>
      <c r="G1" s="505"/>
      <c r="H1" s="505"/>
      <c r="I1" s="505"/>
      <c r="J1" s="506"/>
    </row>
    <row r="2" spans="1:10" ht="11.25">
      <c r="A2" s="504"/>
      <c r="B2" s="505"/>
      <c r="C2" s="505"/>
      <c r="D2" s="505"/>
      <c r="E2" s="505"/>
      <c r="F2" s="505"/>
      <c r="G2" s="505"/>
      <c r="H2" s="505"/>
      <c r="I2" s="505"/>
      <c r="J2" s="506"/>
    </row>
    <row r="3" spans="1:10" ht="11.25">
      <c r="A3" s="504" t="s">
        <v>106</v>
      </c>
      <c r="B3" s="505"/>
      <c r="C3" s="505"/>
      <c r="D3" s="505"/>
      <c r="E3" s="505"/>
      <c r="F3" s="505"/>
      <c r="G3" s="505"/>
      <c r="H3" s="505"/>
      <c r="I3" s="505"/>
      <c r="J3" s="506"/>
    </row>
    <row r="4" spans="1:10" ht="11.25">
      <c r="A4" s="504" t="s">
        <v>130</v>
      </c>
      <c r="B4" s="505"/>
      <c r="C4" s="505"/>
      <c r="D4" s="505"/>
      <c r="E4" s="505"/>
      <c r="F4" s="505"/>
      <c r="G4" s="505"/>
      <c r="H4" s="505"/>
      <c r="I4" s="505"/>
      <c r="J4" s="506"/>
    </row>
    <row r="5" spans="1:10" ht="11.25">
      <c r="A5" s="504" t="s">
        <v>7</v>
      </c>
      <c r="B5" s="505"/>
      <c r="C5" s="505"/>
      <c r="D5" s="505"/>
      <c r="E5" s="505"/>
      <c r="F5" s="505"/>
      <c r="G5" s="505"/>
      <c r="H5" s="505"/>
      <c r="I5" s="505"/>
      <c r="J5" s="506"/>
    </row>
    <row r="6" spans="1:10" ht="11.25">
      <c r="A6" s="507" t="s">
        <v>8</v>
      </c>
      <c r="B6" s="508"/>
      <c r="C6" s="508"/>
      <c r="D6" s="508"/>
      <c r="E6" s="508"/>
      <c r="F6" s="508"/>
      <c r="G6" s="508"/>
      <c r="H6" s="508"/>
      <c r="I6" s="508"/>
      <c r="J6" s="509"/>
    </row>
    <row r="7" spans="1:10" ht="11.25">
      <c r="A7" s="504" t="s">
        <v>128</v>
      </c>
      <c r="B7" s="505"/>
      <c r="C7" s="505"/>
      <c r="D7" s="505"/>
      <c r="E7" s="505"/>
      <c r="F7" s="505"/>
      <c r="G7" s="505"/>
      <c r="H7" s="505"/>
      <c r="I7" s="505"/>
      <c r="J7" s="506"/>
    </row>
    <row r="8" spans="1:10" ht="11.25">
      <c r="A8" s="504"/>
      <c r="B8" s="505"/>
      <c r="C8" s="505"/>
      <c r="D8" s="505"/>
      <c r="E8" s="505"/>
      <c r="F8" s="505"/>
      <c r="G8" s="505"/>
      <c r="H8" s="505"/>
      <c r="I8" s="505"/>
      <c r="J8" s="506"/>
    </row>
    <row r="9" spans="1:11" ht="11.25">
      <c r="A9" s="4" t="s">
        <v>9</v>
      </c>
      <c r="B9" s="497"/>
      <c r="C9" s="497"/>
      <c r="D9" s="497"/>
      <c r="E9" s="497"/>
      <c r="F9" s="497"/>
      <c r="G9" s="497"/>
      <c r="H9" s="498">
        <v>1</v>
      </c>
      <c r="I9" s="499"/>
      <c r="J9" s="500"/>
      <c r="K9" s="44"/>
    </row>
    <row r="10" spans="1:11" s="124" customFormat="1" ht="12.75" customHeight="1">
      <c r="A10" s="482" t="s">
        <v>93</v>
      </c>
      <c r="B10" s="501" t="s">
        <v>114</v>
      </c>
      <c r="C10" s="502"/>
      <c r="D10" s="503"/>
      <c r="E10" s="501" t="s">
        <v>124</v>
      </c>
      <c r="F10" s="502"/>
      <c r="G10" s="503"/>
      <c r="H10" s="501" t="s">
        <v>135</v>
      </c>
      <c r="I10" s="502"/>
      <c r="J10" s="503"/>
      <c r="K10" s="125"/>
    </row>
    <row r="11" spans="1:11" ht="15.75" customHeight="1">
      <c r="A11" s="483"/>
      <c r="B11" s="7" t="s">
        <v>10</v>
      </c>
      <c r="C11" s="8" t="s">
        <v>10</v>
      </c>
      <c r="D11" s="8" t="s">
        <v>11</v>
      </c>
      <c r="E11" s="8" t="s">
        <v>10</v>
      </c>
      <c r="F11" s="8" t="s">
        <v>10</v>
      </c>
      <c r="G11" s="8" t="s">
        <v>11</v>
      </c>
      <c r="H11" s="8" t="s">
        <v>10</v>
      </c>
      <c r="I11" s="8" t="s">
        <v>10</v>
      </c>
      <c r="J11" s="71" t="s">
        <v>11</v>
      </c>
      <c r="K11" s="44"/>
    </row>
    <row r="12" spans="1:11" ht="15.75" customHeight="1">
      <c r="A12" s="483"/>
      <c r="B12" s="9" t="s">
        <v>12</v>
      </c>
      <c r="C12" s="10" t="s">
        <v>13</v>
      </c>
      <c r="D12" s="10" t="s">
        <v>14</v>
      </c>
      <c r="E12" s="10" t="s">
        <v>12</v>
      </c>
      <c r="F12" s="10" t="s">
        <v>13</v>
      </c>
      <c r="G12" s="10" t="s">
        <v>15</v>
      </c>
      <c r="H12" s="10" t="s">
        <v>12</v>
      </c>
      <c r="I12" s="10" t="s">
        <v>13</v>
      </c>
      <c r="J12" s="72" t="s">
        <v>16</v>
      </c>
      <c r="K12" s="44"/>
    </row>
    <row r="13" spans="1:11" ht="15.75" customHeight="1">
      <c r="A13" s="484"/>
      <c r="B13" s="12" t="s">
        <v>85</v>
      </c>
      <c r="C13" s="126"/>
      <c r="D13" s="13" t="s">
        <v>17</v>
      </c>
      <c r="E13" s="13" t="s">
        <v>86</v>
      </c>
      <c r="F13" s="126"/>
      <c r="G13" s="13" t="s">
        <v>17</v>
      </c>
      <c r="H13" s="13" t="s">
        <v>87</v>
      </c>
      <c r="I13" s="126"/>
      <c r="J13" s="73" t="s">
        <v>17</v>
      </c>
      <c r="K13" s="44"/>
    </row>
    <row r="14" spans="1:11" ht="11.25">
      <c r="A14" s="108" t="s">
        <v>18</v>
      </c>
      <c r="B14" s="39">
        <f>+'Demonstrativo III'!E11</f>
        <v>30126222</v>
      </c>
      <c r="C14" s="43">
        <f>+'Demonstrativo III'!E22</f>
        <v>30126222</v>
      </c>
      <c r="D14" s="48">
        <f>B14/$C$25*100</f>
        <v>0.0585589200326556</v>
      </c>
      <c r="E14" s="40">
        <f>+'Demonstrativo III'!G11</f>
        <v>32858670.335399996</v>
      </c>
      <c r="F14" s="43">
        <f>+'Demonstrativo III'!G22</f>
        <v>31116165.090340905</v>
      </c>
      <c r="G14" s="48">
        <f>E14/$C$25*100</f>
        <v>0.06387021407961745</v>
      </c>
      <c r="H14" s="95">
        <f>+'Demonstrativo III'!I11</f>
        <v>34994483.907201</v>
      </c>
      <c r="I14" s="96">
        <f>+'Demonstrativo III'!I22</f>
        <v>31217202.414987512</v>
      </c>
      <c r="J14" s="48">
        <f>H14/$C$25*100</f>
        <v>0.0680217779947926</v>
      </c>
      <c r="K14" s="44"/>
    </row>
    <row r="15" spans="1:11" ht="11.25">
      <c r="A15" s="108" t="s">
        <v>19</v>
      </c>
      <c r="B15" s="39">
        <f>+'Demonstrativo III'!E12</f>
        <v>29641222</v>
      </c>
      <c r="C15" s="43">
        <f>+'Demonstrativo III'!E23</f>
        <v>29641222</v>
      </c>
      <c r="D15" s="48">
        <f aca="true" t="shared" si="0" ref="D15:D21">B15/$C$25*100</f>
        <v>0.05761618395988027</v>
      </c>
      <c r="E15" s="40">
        <f>+'Demonstrativo III'!G12</f>
        <v>32199203.993709996</v>
      </c>
      <c r="F15" s="43">
        <f>+'Demonstrativo III'!G23</f>
        <v>30491670.448589012</v>
      </c>
      <c r="G15" s="48">
        <f aca="true" t="shared" si="1" ref="G15:G21">E15/$C$25*100</f>
        <v>0.06258835282375694</v>
      </c>
      <c r="H15" s="95">
        <f>+'Demonstrativo III'!I12</f>
        <v>34412669.7611385</v>
      </c>
      <c r="I15" s="96">
        <f>+'Demonstrativo III'!I23</f>
        <v>30698188.903780997</v>
      </c>
      <c r="J15" s="48">
        <f aca="true" t="shared" si="2" ref="J15:J21">H15/$C$25*100</f>
        <v>0.06689085596769136</v>
      </c>
      <c r="K15" s="44"/>
    </row>
    <row r="16" spans="1:11" ht="11.25">
      <c r="A16" s="108" t="s">
        <v>20</v>
      </c>
      <c r="B16" s="39">
        <f>+'Demonstrativo III'!E13</f>
        <v>30126222</v>
      </c>
      <c r="C16" s="43">
        <f>+'Demonstrativo III'!E24</f>
        <v>30126222</v>
      </c>
      <c r="D16" s="48">
        <f t="shared" si="0"/>
        <v>0.0585589200326556</v>
      </c>
      <c r="E16" s="40">
        <f>+'Demonstrativo III'!G13</f>
        <v>32858670.3354</v>
      </c>
      <c r="F16" s="43">
        <f>+'Demonstrativo III'!G24</f>
        <v>31116165.09034091</v>
      </c>
      <c r="G16" s="48">
        <f t="shared" si="1"/>
        <v>0.06387021407961746</v>
      </c>
      <c r="H16" s="95">
        <f>+'Demonstrativo III'!I13</f>
        <v>34994483.90720099</v>
      </c>
      <c r="I16" s="96">
        <f>+'Demonstrativo III'!I24</f>
        <v>31217202.414987504</v>
      </c>
      <c r="J16" s="48">
        <f t="shared" si="2"/>
        <v>0.06802177799479257</v>
      </c>
      <c r="K16" s="44"/>
    </row>
    <row r="17" spans="1:11" ht="11.25">
      <c r="A17" s="108" t="s">
        <v>21</v>
      </c>
      <c r="B17" s="39">
        <f>+'Demonstrativo III'!E14</f>
        <v>29273222</v>
      </c>
      <c r="C17" s="43">
        <f>+'Demonstrativo III'!E25</f>
        <v>29273222</v>
      </c>
      <c r="D17" s="48">
        <f t="shared" si="0"/>
        <v>0.056900870816001245</v>
      </c>
      <c r="E17" s="40">
        <f>+'Demonstrativo III'!G14</f>
        <v>31928303.2354</v>
      </c>
      <c r="F17" s="43">
        <f>+'Demonstrativo III'!G25</f>
        <v>30235135.63958333</v>
      </c>
      <c r="G17" s="48">
        <f t="shared" si="1"/>
        <v>0.062061779799012555</v>
      </c>
      <c r="H17" s="95">
        <f>+'Demonstrativo III'!I14</f>
        <v>34003642.94570099</v>
      </c>
      <c r="I17" s="96">
        <f>+'Demonstrativo III'!I25</f>
        <v>30333312.17279303</v>
      </c>
      <c r="J17" s="48">
        <f t="shared" si="2"/>
        <v>0.06609579548594835</v>
      </c>
      <c r="K17" s="44"/>
    </row>
    <row r="18" spans="1:11" ht="11.25">
      <c r="A18" s="108" t="s">
        <v>22</v>
      </c>
      <c r="B18" s="39">
        <f>+'Demonstrativo III'!E15</f>
        <v>368000</v>
      </c>
      <c r="C18" s="43">
        <f>+'Demonstrativo III'!E26</f>
        <v>368000</v>
      </c>
      <c r="D18" s="48">
        <f t="shared" si="0"/>
        <v>0.0007153131438790188</v>
      </c>
      <c r="E18" s="40">
        <f>+'Demonstrativo III'!G15</f>
        <v>270900.7583099976</v>
      </c>
      <c r="F18" s="43">
        <f>+'Demonstrativo III'!G26</f>
        <v>256534.80900568143</v>
      </c>
      <c r="G18" s="48">
        <f t="shared" si="1"/>
        <v>0.0005265730247443875</v>
      </c>
      <c r="H18" s="95">
        <f>+'Demonstrativo III'!I15</f>
        <v>409026.8154375106</v>
      </c>
      <c r="I18" s="96">
        <f>+'Demonstrativo III'!I26</f>
        <v>364876.73098796606</v>
      </c>
      <c r="J18" s="48">
        <f t="shared" si="2"/>
        <v>0.0007950604817430132</v>
      </c>
      <c r="K18" s="44"/>
    </row>
    <row r="19" spans="1:11" ht="11.25">
      <c r="A19" s="108" t="s">
        <v>23</v>
      </c>
      <c r="B19" s="39">
        <f>+'Demonstrativo III'!E16</f>
        <v>-900338.29981538</v>
      </c>
      <c r="C19" s="43">
        <f>+'Demonstrativo III'!E27</f>
        <v>-900338.29981538</v>
      </c>
      <c r="D19" s="48">
        <f t="shared" si="0"/>
        <v>-0.0017500647277055165</v>
      </c>
      <c r="E19" s="40">
        <f>+'Demonstrativo III'!G16</f>
        <v>-409749.24023845466</v>
      </c>
      <c r="F19" s="43">
        <f>+'Demonstrativo III'!G27</f>
        <v>-388020.11386217293</v>
      </c>
      <c r="G19" s="48">
        <f t="shared" si="1"/>
        <v>-0.00079646472075274</v>
      </c>
      <c r="H19" s="95">
        <f>+'Demonstrativo III'!I16</f>
        <v>1892.8814269760624</v>
      </c>
      <c r="I19" s="96">
        <f>+'Demonstrativo III'!I27</f>
        <v>1688.5650552864072</v>
      </c>
      <c r="J19" s="48">
        <f t="shared" si="2"/>
        <v>3.67935588184905E-06</v>
      </c>
      <c r="K19" s="44"/>
    </row>
    <row r="20" spans="1:11" ht="11.25">
      <c r="A20" s="108" t="s">
        <v>24</v>
      </c>
      <c r="B20" s="39">
        <f>+'Demonstrativo III'!E17</f>
        <v>4139021.576</v>
      </c>
      <c r="C20" s="43">
        <f>+'Demonstrativo III'!E28</f>
        <v>4139021.576</v>
      </c>
      <c r="D20" s="48">
        <f t="shared" si="0"/>
        <v>0.00804537102204253</v>
      </c>
      <c r="E20" s="40">
        <f>+'Demonstrativo III'!G17</f>
        <v>4408057.97844</v>
      </c>
      <c r="F20" s="43">
        <f>+'Demonstrativo III'!G28</f>
        <v>4174297.3280681814</v>
      </c>
      <c r="G20" s="48">
        <f t="shared" si="1"/>
        <v>0.008568320138475293</v>
      </c>
      <c r="H20" s="95">
        <f>+'Demonstrativo III'!I17</f>
        <v>5034002.211378479</v>
      </c>
      <c r="I20" s="96">
        <f>+'Demonstrativo III'!I28</f>
        <v>4490635.335752435</v>
      </c>
      <c r="J20" s="48">
        <f t="shared" si="2"/>
        <v>0.009785021598138785</v>
      </c>
      <c r="K20" s="44"/>
    </row>
    <row r="21" spans="1:11" ht="11.25">
      <c r="A21" s="109" t="s">
        <v>25</v>
      </c>
      <c r="B21" s="39">
        <f>+'Demonstrativo III'!E18</f>
        <v>1408780.8239000002</v>
      </c>
      <c r="C21" s="43">
        <f>+'Demonstrativo III'!E29</f>
        <v>1408780.8239000002</v>
      </c>
      <c r="D21" s="48">
        <f t="shared" si="0"/>
        <v>0.002738368043968433</v>
      </c>
      <c r="E21" s="40">
        <f>+'Demonstrativo III'!G18</f>
        <v>1430184.39012453</v>
      </c>
      <c r="F21" s="43">
        <f>+'Demonstrativo III'!G29</f>
        <v>1354341.278527017</v>
      </c>
      <c r="G21" s="48">
        <f t="shared" si="1"/>
        <v>0.0027799719902898766</v>
      </c>
      <c r="H21" s="95">
        <f>+'Demonstrativo III'!I18</f>
        <v>1769087.1259130999</v>
      </c>
      <c r="I21" s="96">
        <f>+'Demonstrativo III'!I29</f>
        <v>1578133.0293604815</v>
      </c>
      <c r="J21" s="48">
        <f t="shared" si="2"/>
        <v>0.0034387262875891222</v>
      </c>
      <c r="K21" s="44"/>
    </row>
    <row r="22" spans="1:10" ht="11.25">
      <c r="A22" s="496" t="s">
        <v>94</v>
      </c>
      <c r="B22" s="496"/>
      <c r="C22" s="496"/>
      <c r="D22" s="496"/>
      <c r="E22" s="496"/>
      <c r="F22" s="496"/>
      <c r="G22" s="496"/>
      <c r="H22" s="496"/>
      <c r="I22" s="496"/>
      <c r="J22" s="496"/>
    </row>
    <row r="23" spans="1:7" ht="11.25">
      <c r="A23" s="44"/>
      <c r="B23" s="44"/>
      <c r="C23" s="44"/>
      <c r="D23" s="44"/>
      <c r="E23" s="44"/>
      <c r="F23" s="44"/>
      <c r="G23" s="44"/>
    </row>
    <row r="24" spans="1:9" ht="11.25">
      <c r="A24" s="485" t="s">
        <v>93</v>
      </c>
      <c r="B24" s="486"/>
      <c r="C24" s="487" t="s">
        <v>110</v>
      </c>
      <c r="D24" s="487"/>
      <c r="E24" s="44"/>
      <c r="F24" s="44"/>
      <c r="G24" s="44"/>
      <c r="H24" s="44"/>
      <c r="I24" s="44"/>
    </row>
    <row r="25" spans="1:4" ht="12.75" customHeight="1">
      <c r="A25" s="488" t="s">
        <v>125</v>
      </c>
      <c r="B25" s="489"/>
      <c r="C25" s="492">
        <f>51446000000</f>
        <v>51446000000</v>
      </c>
      <c r="D25" s="493"/>
    </row>
    <row r="26" spans="1:4" ht="11.25">
      <c r="A26" s="490"/>
      <c r="B26" s="491"/>
      <c r="C26" s="494"/>
      <c r="D26" s="495"/>
    </row>
    <row r="27" spans="1:4" ht="11.25">
      <c r="A27" s="480" t="s">
        <v>116</v>
      </c>
      <c r="B27" s="481"/>
      <c r="C27" s="127"/>
      <c r="D27" s="128"/>
    </row>
  </sheetData>
  <sheetProtection/>
  <mergeCells count="21">
    <mergeCell ref="A1:J1"/>
    <mergeCell ref="A2:J2"/>
    <mergeCell ref="A8:J8"/>
    <mergeCell ref="A5:J5"/>
    <mergeCell ref="A6:J6"/>
    <mergeCell ref="A7:J7"/>
    <mergeCell ref="A3:J3"/>
    <mergeCell ref="A4:J4"/>
    <mergeCell ref="B9:D9"/>
    <mergeCell ref="E9:G9"/>
    <mergeCell ref="H9:J9"/>
    <mergeCell ref="B10:D10"/>
    <mergeCell ref="E10:G10"/>
    <mergeCell ref="H10:J10"/>
    <mergeCell ref="A27:B27"/>
    <mergeCell ref="A10:A13"/>
    <mergeCell ref="A24:B24"/>
    <mergeCell ref="C24:D24"/>
    <mergeCell ref="A25:B26"/>
    <mergeCell ref="C25:D26"/>
    <mergeCell ref="A22:J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27"/>
  <sheetViews>
    <sheetView showGridLines="0" zoomScale="130" zoomScaleNormal="130" zoomScalePageLayoutView="0" workbookViewId="0" topLeftCell="A1">
      <selection activeCell="A30" sqref="A30:E30"/>
    </sheetView>
  </sheetViews>
  <sheetFormatPr defaultColWidth="9.140625" defaultRowHeight="12.75"/>
  <cols>
    <col min="1" max="1" width="24.28125" style="38" customWidth="1"/>
    <col min="2" max="3" width="11.421875" style="38" customWidth="1"/>
    <col min="4" max="4" width="11.8515625" style="38" customWidth="1"/>
    <col min="5" max="5" width="11.00390625" style="38" customWidth="1"/>
    <col min="6" max="6" width="9.421875" style="38" bestFit="1" customWidth="1"/>
    <col min="7" max="7" width="9.28125" style="38" bestFit="1" customWidth="1"/>
    <col min="8" max="16384" width="9.140625" style="38" customWidth="1"/>
  </cols>
  <sheetData>
    <row r="1" spans="1:7" ht="11.25">
      <c r="A1" s="510" t="s">
        <v>4</v>
      </c>
      <c r="B1" s="511"/>
      <c r="C1" s="511"/>
      <c r="D1" s="511"/>
      <c r="E1" s="511"/>
      <c r="F1" s="511"/>
      <c r="G1" s="511"/>
    </row>
    <row r="2" spans="1:5" ht="11.25">
      <c r="A2" s="504"/>
      <c r="B2" s="505"/>
      <c r="C2" s="505"/>
      <c r="D2" s="505"/>
      <c r="E2" s="506"/>
    </row>
    <row r="3" spans="1:5" ht="11.25">
      <c r="A3" s="504" t="s">
        <v>106</v>
      </c>
      <c r="B3" s="505"/>
      <c r="C3" s="505"/>
      <c r="D3" s="505"/>
      <c r="E3" s="506"/>
    </row>
    <row r="4" spans="1:5" ht="11.25">
      <c r="A4" s="504" t="s">
        <v>130</v>
      </c>
      <c r="B4" s="505"/>
      <c r="C4" s="505"/>
      <c r="D4" s="505"/>
      <c r="E4" s="506"/>
    </row>
    <row r="5" spans="1:5" ht="11.25">
      <c r="A5" s="504" t="s">
        <v>7</v>
      </c>
      <c r="B5" s="505"/>
      <c r="C5" s="505"/>
      <c r="D5" s="505"/>
      <c r="E5" s="506"/>
    </row>
    <row r="6" spans="1:5" ht="11.25">
      <c r="A6" s="512" t="s">
        <v>26</v>
      </c>
      <c r="B6" s="513"/>
      <c r="C6" s="513"/>
      <c r="D6" s="513"/>
      <c r="E6" s="514"/>
    </row>
    <row r="7" spans="1:5" ht="11.25">
      <c r="A7" s="504" t="s">
        <v>128</v>
      </c>
      <c r="B7" s="505"/>
      <c r="C7" s="505"/>
      <c r="D7" s="505"/>
      <c r="E7" s="506"/>
    </row>
    <row r="8" spans="1:5" ht="11.25">
      <c r="A8" s="504"/>
      <c r="B8" s="505"/>
      <c r="C8" s="505"/>
      <c r="D8" s="505"/>
      <c r="E8" s="506"/>
    </row>
    <row r="9" spans="1:5" ht="12.75" customHeight="1">
      <c r="A9" s="19" t="s">
        <v>27</v>
      </c>
      <c r="B9" s="129"/>
      <c r="C9" s="129"/>
      <c r="D9" s="498">
        <v>1</v>
      </c>
      <c r="E9" s="499"/>
    </row>
    <row r="10" spans="1:7" ht="10.5" customHeight="1">
      <c r="A10" s="482" t="s">
        <v>93</v>
      </c>
      <c r="B10" s="482" t="s">
        <v>133</v>
      </c>
      <c r="C10" s="482" t="s">
        <v>11</v>
      </c>
      <c r="D10" s="482" t="s">
        <v>134</v>
      </c>
      <c r="E10" s="482" t="s">
        <v>11</v>
      </c>
      <c r="F10" s="525" t="s">
        <v>76</v>
      </c>
      <c r="G10" s="526"/>
    </row>
    <row r="11" spans="1:7" ht="27.75" customHeight="1">
      <c r="A11" s="483"/>
      <c r="B11" s="483"/>
      <c r="C11" s="483"/>
      <c r="D11" s="483"/>
      <c r="E11" s="483"/>
      <c r="F11" s="527"/>
      <c r="G11" s="528"/>
    </row>
    <row r="12" spans="1:7" ht="17.25" customHeight="1">
      <c r="A12" s="484"/>
      <c r="B12" s="120" t="s">
        <v>104</v>
      </c>
      <c r="C12" s="130"/>
      <c r="D12" s="121" t="s">
        <v>86</v>
      </c>
      <c r="E12" s="130"/>
      <c r="F12" s="131" t="s">
        <v>97</v>
      </c>
      <c r="G12" s="11" t="s">
        <v>77</v>
      </c>
    </row>
    <row r="13" spans="1:7" ht="11.25">
      <c r="A13" s="97" t="s">
        <v>30</v>
      </c>
      <c r="B13" s="113">
        <f>+'Demonstrativo III'!B11</f>
        <v>21251670.669999998</v>
      </c>
      <c r="C13" s="132">
        <f>B13/$C$26*100</f>
        <v>0.041308693912063134</v>
      </c>
      <c r="D13" s="156">
        <v>23665663.44</v>
      </c>
      <c r="E13" s="133">
        <f>D13/$C$26*100</f>
        <v>0.046000978579481405</v>
      </c>
      <c r="F13" s="106">
        <f aca="true" t="shared" si="0" ref="F13:F20">+D13-B13</f>
        <v>2413992.7700000033</v>
      </c>
      <c r="G13" s="107">
        <f>F13/B13*100</f>
        <v>11.359072928829663</v>
      </c>
    </row>
    <row r="14" spans="1:7" ht="11.25">
      <c r="A14" s="97" t="s">
        <v>31</v>
      </c>
      <c r="B14" s="114">
        <f>+'Demonstrativo III'!B12</f>
        <v>21001857.61</v>
      </c>
      <c r="C14" s="134">
        <f aca="true" t="shared" si="1" ref="C14:E20">B14/$C$26*100</f>
        <v>0.04082311085409945</v>
      </c>
      <c r="D14" s="110">
        <f>D13-50680.2</f>
        <v>23614983.240000002</v>
      </c>
      <c r="E14" s="135">
        <f t="shared" si="1"/>
        <v>0.04590246713058353</v>
      </c>
      <c r="F14" s="40">
        <f t="shared" si="0"/>
        <v>2613125.6300000027</v>
      </c>
      <c r="G14" s="48">
        <f aca="true" t="shared" si="2" ref="G14:G20">F14/B14*100</f>
        <v>12.44235475987499</v>
      </c>
    </row>
    <row r="15" spans="1:7" ht="11.25">
      <c r="A15" s="97" t="s">
        <v>32</v>
      </c>
      <c r="B15" s="114">
        <f>+'Demonstrativo III'!B13</f>
        <v>20443233.419999998</v>
      </c>
      <c r="C15" s="134">
        <f t="shared" si="1"/>
        <v>0.0397372651323718</v>
      </c>
      <c r="D15" s="110">
        <v>23305259.77</v>
      </c>
      <c r="E15" s="135">
        <f t="shared" si="1"/>
        <v>0.045300431073358474</v>
      </c>
      <c r="F15" s="40">
        <f t="shared" si="0"/>
        <v>2862026.3500000015</v>
      </c>
      <c r="G15" s="48">
        <f t="shared" si="2"/>
        <v>13.999871210197245</v>
      </c>
    </row>
    <row r="16" spans="1:7" ht="11.25">
      <c r="A16" s="97" t="s">
        <v>33</v>
      </c>
      <c r="B16" s="114">
        <f>+'Demonstrativo III'!B14</f>
        <v>19674672.06</v>
      </c>
      <c r="C16" s="134">
        <f t="shared" si="1"/>
        <v>0.03824334653811764</v>
      </c>
      <c r="D16" s="110">
        <f>+D15-35900.91</f>
        <v>23269358.86</v>
      </c>
      <c r="E16" s="135">
        <f t="shared" si="1"/>
        <v>0.04523064739727092</v>
      </c>
      <c r="F16" s="40">
        <f t="shared" si="0"/>
        <v>3594686.8000000007</v>
      </c>
      <c r="G16" s="48">
        <f t="shared" si="2"/>
        <v>18.27063134286367</v>
      </c>
    </row>
    <row r="17" spans="1:7" ht="11.25">
      <c r="A17" s="97" t="s">
        <v>34</v>
      </c>
      <c r="B17" s="114">
        <f>+'Demonstrativo III'!B15</f>
        <v>1327185.5500000007</v>
      </c>
      <c r="C17" s="134">
        <f>B17/$C$26*100</f>
        <v>0.0025797643159818076</v>
      </c>
      <c r="D17" s="110">
        <f>+D14-D16</f>
        <v>345624.3800000027</v>
      </c>
      <c r="E17" s="135">
        <f t="shared" si="1"/>
        <v>0.0006718197333126048</v>
      </c>
      <c r="F17" s="40">
        <f t="shared" si="0"/>
        <v>-981561.1699999981</v>
      </c>
      <c r="G17" s="48">
        <f t="shared" si="2"/>
        <v>-73.95809651483906</v>
      </c>
    </row>
    <row r="18" spans="1:7" ht="11.25">
      <c r="A18" s="97" t="s">
        <v>6</v>
      </c>
      <c r="B18" s="114">
        <f>+'Demonstrativo III'!B16</f>
        <v>-1771515.1899999995</v>
      </c>
      <c r="C18" s="134">
        <f t="shared" si="1"/>
        <v>-0.0034434459238813506</v>
      </c>
      <c r="D18" s="110">
        <v>-672979.87</v>
      </c>
      <c r="E18" s="135">
        <f>D18/$C$26*100</f>
        <v>-0.0013081286591766124</v>
      </c>
      <c r="F18" s="49">
        <f>+D18-B18</f>
        <v>1098535.3199999994</v>
      </c>
      <c r="G18" s="48">
        <f>F18/B18*100</f>
        <v>-62.0110584544296</v>
      </c>
    </row>
    <row r="19" spans="1:7" ht="11.25">
      <c r="A19" s="97" t="s">
        <v>35</v>
      </c>
      <c r="B19" s="114">
        <f>+'Demonstrativo III'!B17</f>
        <v>5417270.82</v>
      </c>
      <c r="C19" s="134">
        <f t="shared" si="1"/>
        <v>0.010530013645375735</v>
      </c>
      <c r="D19" s="110">
        <v>4474617.92</v>
      </c>
      <c r="E19" s="135">
        <f t="shared" si="1"/>
        <v>0.00869769840220814</v>
      </c>
      <c r="F19" s="49">
        <f t="shared" si="0"/>
        <v>-942652.9000000004</v>
      </c>
      <c r="G19" s="48">
        <f t="shared" si="2"/>
        <v>-17.400881944462217</v>
      </c>
    </row>
    <row r="20" spans="1:7" ht="11.25">
      <c r="A20" s="98" t="s">
        <v>36</v>
      </c>
      <c r="B20" s="115">
        <f>+'Demonstrativo III'!B18</f>
        <v>3458920.0700000003</v>
      </c>
      <c r="C20" s="136">
        <f t="shared" si="1"/>
        <v>0.006723399428527</v>
      </c>
      <c r="D20" s="157">
        <v>1911011.58</v>
      </c>
      <c r="E20" s="137">
        <f t="shared" si="1"/>
        <v>0.003714597014345139</v>
      </c>
      <c r="F20" s="50">
        <f t="shared" si="0"/>
        <v>-1547908.4900000002</v>
      </c>
      <c r="G20" s="100">
        <f t="shared" si="2"/>
        <v>-44.75120727493423</v>
      </c>
    </row>
    <row r="21" spans="1:7" ht="23.25" customHeight="1">
      <c r="A21" s="530" t="s">
        <v>120</v>
      </c>
      <c r="B21" s="531"/>
      <c r="C21" s="531"/>
      <c r="D21" s="531"/>
      <c r="E21" s="531"/>
      <c r="F21" s="531"/>
      <c r="G21" s="531"/>
    </row>
    <row r="25" spans="1:9" ht="11.25">
      <c r="A25" s="519" t="s">
        <v>93</v>
      </c>
      <c r="B25" s="520"/>
      <c r="C25" s="529" t="s">
        <v>110</v>
      </c>
      <c r="D25" s="529"/>
      <c r="E25" s="44"/>
      <c r="F25" s="44"/>
      <c r="G25" s="44"/>
      <c r="H25" s="44"/>
      <c r="I25" s="44"/>
    </row>
    <row r="26" spans="1:4" ht="11.25">
      <c r="A26" s="521" t="s">
        <v>115</v>
      </c>
      <c r="B26" s="522"/>
      <c r="C26" s="515">
        <f>51446000000</f>
        <v>51446000000</v>
      </c>
      <c r="D26" s="516"/>
    </row>
    <row r="27" spans="1:4" ht="11.25">
      <c r="A27" s="523" t="s">
        <v>116</v>
      </c>
      <c r="B27" s="524"/>
      <c r="C27" s="517"/>
      <c r="D27" s="518"/>
    </row>
  </sheetData>
  <sheetProtection/>
  <mergeCells count="21">
    <mergeCell ref="F10:G11"/>
    <mergeCell ref="D10:D11"/>
    <mergeCell ref="E10:E11"/>
    <mergeCell ref="C25:D25"/>
    <mergeCell ref="A21:G21"/>
    <mergeCell ref="C10:C11"/>
    <mergeCell ref="A10:A12"/>
    <mergeCell ref="A7:E7"/>
    <mergeCell ref="A6:E6"/>
    <mergeCell ref="A5:E5"/>
    <mergeCell ref="C26:D27"/>
    <mergeCell ref="A25:B25"/>
    <mergeCell ref="A26:B26"/>
    <mergeCell ref="B10:B11"/>
    <mergeCell ref="A27:B27"/>
    <mergeCell ref="A1:G1"/>
    <mergeCell ref="A8:E8"/>
    <mergeCell ref="A2:E2"/>
    <mergeCell ref="A3:E3"/>
    <mergeCell ref="A4:E4"/>
    <mergeCell ref="D9:E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ANEXO</cp:lastModifiedBy>
  <cp:lastPrinted>2017-11-11T01:21:01Z</cp:lastPrinted>
  <dcterms:created xsi:type="dcterms:W3CDTF">2004-08-09T19:29:24Z</dcterms:created>
  <dcterms:modified xsi:type="dcterms:W3CDTF">2017-11-29T13:05:14Z</dcterms:modified>
  <cp:category/>
  <cp:version/>
  <cp:contentType/>
  <cp:contentStatus/>
</cp:coreProperties>
</file>